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0880" windowHeight="10050"/>
  </bookViews>
  <sheets>
    <sheet name="Main Sheet" sheetId="1" r:id="rId1"/>
    <sheet name="Thermistor Temps" sheetId="9" r:id="rId2"/>
    <sheet name="Viscosity" sheetId="10" r:id="rId3"/>
  </sheets>
  <definedNames>
    <definedName name="viscosity_of_air_vs_temp" localSheetId="2">Viscosity!$A$3:$B$7</definedName>
  </definedNames>
  <calcPr calcId="124519"/>
</workbook>
</file>

<file path=xl/calcChain.xml><?xml version="1.0" encoding="utf-8"?>
<calcChain xmlns="http://schemas.openxmlformats.org/spreadsheetml/2006/main">
  <c r="C80" i="1"/>
  <c r="C78"/>
  <c r="H83"/>
  <c r="E64"/>
  <c r="E63"/>
  <c r="E62"/>
  <c r="E61"/>
  <c r="E60"/>
  <c r="C51"/>
  <c r="C12" i="10"/>
  <c r="G10" i="9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5"/>
  <c r="C46" i="1"/>
  <c r="C50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"/>
  <c r="C5"/>
  <c r="C6"/>
  <c r="C7"/>
  <c r="C8"/>
  <c r="C9"/>
  <c r="C10"/>
  <c r="C11"/>
  <c r="C12"/>
  <c r="C13"/>
  <c r="F13" s="1"/>
  <c r="G13" s="1"/>
  <c r="H13" s="1"/>
  <c r="C14"/>
  <c r="C15"/>
  <c r="C16"/>
  <c r="C17"/>
  <c r="C18"/>
  <c r="C19"/>
  <c r="F19" s="1"/>
  <c r="G19" s="1"/>
  <c r="H19" s="1"/>
  <c r="C20"/>
  <c r="C21"/>
  <c r="C22"/>
  <c r="C23"/>
  <c r="F23" s="1"/>
  <c r="G23" s="1"/>
  <c r="H23" s="1"/>
  <c r="C24"/>
  <c r="C25"/>
  <c r="C26"/>
  <c r="C27"/>
  <c r="F27" s="1"/>
  <c r="G27" s="1"/>
  <c r="H27" s="1"/>
  <c r="C28"/>
  <c r="C29"/>
  <c r="C30"/>
  <c r="C31"/>
  <c r="F31" s="1"/>
  <c r="G31" s="1"/>
  <c r="H31" s="1"/>
  <c r="C32"/>
  <c r="C33"/>
  <c r="C34"/>
  <c r="C35"/>
  <c r="F35" s="1"/>
  <c r="G35" s="1"/>
  <c r="H35" s="1"/>
  <c r="I35" s="1"/>
  <c r="C36"/>
  <c r="C37"/>
  <c r="C38"/>
  <c r="C39"/>
  <c r="F39" s="1"/>
  <c r="G39" s="1"/>
  <c r="H39" s="1"/>
  <c r="C4"/>
  <c r="F6" l="1"/>
  <c r="G6" s="1"/>
  <c r="H6" s="1"/>
  <c r="I6" s="1"/>
  <c r="F37"/>
  <c r="G37" s="1"/>
  <c r="H37" s="1"/>
  <c r="F33"/>
  <c r="G33" s="1"/>
  <c r="H33" s="1"/>
  <c r="F29"/>
  <c r="G29" s="1"/>
  <c r="H29" s="1"/>
  <c r="F25"/>
  <c r="G25" s="1"/>
  <c r="H25" s="1"/>
  <c r="F21"/>
  <c r="G21" s="1"/>
  <c r="H21" s="1"/>
  <c r="F17"/>
  <c r="G17" s="1"/>
  <c r="H17" s="1"/>
  <c r="F5"/>
  <c r="G5" s="1"/>
  <c r="H5" s="1"/>
  <c r="I5" s="1"/>
  <c r="F15"/>
  <c r="G15" s="1"/>
  <c r="H15" s="1"/>
  <c r="F10"/>
  <c r="G10" s="1"/>
  <c r="H10" s="1"/>
  <c r="F4"/>
  <c r="G4" s="1"/>
  <c r="H4" s="1"/>
  <c r="I4" s="1"/>
  <c r="F38"/>
  <c r="G38" s="1"/>
  <c r="H38" s="1"/>
  <c r="F36"/>
  <c r="G36" s="1"/>
  <c r="H36" s="1"/>
  <c r="I36" s="1"/>
  <c r="F34"/>
  <c r="G34" s="1"/>
  <c r="H34" s="1"/>
  <c r="F32"/>
  <c r="G32" s="1"/>
  <c r="H32" s="1"/>
  <c r="F30"/>
  <c r="G30" s="1"/>
  <c r="H30" s="1"/>
  <c r="F28"/>
  <c r="G28" s="1"/>
  <c r="H28" s="1"/>
  <c r="I27" s="1"/>
  <c r="F26"/>
  <c r="G26" s="1"/>
  <c r="H26" s="1"/>
  <c r="I26" s="1"/>
  <c r="F24"/>
  <c r="G24" s="1"/>
  <c r="H24" s="1"/>
  <c r="I24" s="1"/>
  <c r="F22"/>
  <c r="G22" s="1"/>
  <c r="H22" s="1"/>
  <c r="F20"/>
  <c r="G20" s="1"/>
  <c r="H20" s="1"/>
  <c r="I20" s="1"/>
  <c r="F18"/>
  <c r="G18" s="1"/>
  <c r="H18" s="1"/>
  <c r="I18" s="1"/>
  <c r="F16"/>
  <c r="G16" s="1"/>
  <c r="H16" s="1"/>
  <c r="F14"/>
  <c r="G14" s="1"/>
  <c r="H14" s="1"/>
  <c r="I13" s="1"/>
  <c r="F12"/>
  <c r="G12" s="1"/>
  <c r="H12" s="1"/>
  <c r="F8"/>
  <c r="G8" s="1"/>
  <c r="H8" s="1"/>
  <c r="F11"/>
  <c r="G11" s="1"/>
  <c r="H11" s="1"/>
  <c r="I11" s="1"/>
  <c r="F9"/>
  <c r="G9" s="1"/>
  <c r="H9" s="1"/>
  <c r="I9" s="1"/>
  <c r="F7"/>
  <c r="G7" s="1"/>
  <c r="H7" s="1"/>
  <c r="I7" s="1"/>
  <c r="I15" l="1"/>
  <c r="I30"/>
  <c r="I21"/>
  <c r="I37"/>
</calcChain>
</file>

<file path=xl/connections.xml><?xml version="1.0" encoding="utf-8"?>
<connections xmlns="http://schemas.openxmlformats.org/spreadsheetml/2006/main">
  <connection id="1" name="viscosity of air vs temp" type="6" refreshedVersion="3" background="1" saveData="1">
    <textPr codePage="437" firstRow="2" sourceFile="C:\Documents and Settings\Jesse\Desktop\viscosity of air vs temp.csv" tab="0" comma="1">
      <textFields count="2"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<sst xmlns="http://schemas.openxmlformats.org/spreadsheetml/2006/main" count="52" uniqueCount="48">
  <si>
    <t>Oil Drop</t>
  </si>
  <si>
    <t>Fall Time (sec)</t>
  </si>
  <si>
    <t>Rise Time (sec)</t>
  </si>
  <si>
    <t>Major Reticle distance (in meters)</t>
  </si>
  <si>
    <t>Average Rise Speed (m/s)</t>
  </si>
  <si>
    <t>Average Fall Speed (m/s)</t>
  </si>
  <si>
    <t>the constant b in Pa*m</t>
  </si>
  <si>
    <t>barometric pressure in Pa</t>
  </si>
  <si>
    <t>density of oil in kg/m^3</t>
  </si>
  <si>
    <t>spacer thickness in m</t>
  </si>
  <si>
    <t>constant g in m/s^2</t>
  </si>
  <si>
    <t>E in volts per meter</t>
  </si>
  <si>
    <t>Equation for determining Radius of Drop</t>
  </si>
  <si>
    <t>Viscosity of Air (given temp) (in Nsm^-2)</t>
  </si>
  <si>
    <t>a = sqrt((b/(2*p))^2+(9*nu*vf)/(2*g*rho)) - (b/(2*p))</t>
  </si>
  <si>
    <t>Estimated Radius of Drop (in meters)</t>
  </si>
  <si>
    <t>Estimated Mass of Drop (kg)</t>
  </si>
  <si>
    <t>Estimated Net Charge of Droplet (Coulombs)</t>
  </si>
  <si>
    <t>Equation for determining Charge</t>
  </si>
  <si>
    <t>q=(m*g*(vf-vr))/(E*vf)</t>
  </si>
  <si>
    <t>voltage across plates</t>
  </si>
  <si>
    <t>Thermistor Resistance Table</t>
  </si>
  <si>
    <t>Degrees C</t>
  </si>
  <si>
    <t>MegaOhms</t>
  </si>
  <si>
    <r>
      <t>y = 7.50x</t>
    </r>
    <r>
      <rPr>
        <vertAlign val="superscript"/>
        <sz val="10"/>
        <color rgb="FF000000"/>
        <rFont val="Calibri"/>
        <family val="2"/>
        <scheme val="minor"/>
      </rPr>
      <t>2</t>
    </r>
    <r>
      <rPr>
        <sz val="10"/>
        <color rgb="FF000000"/>
        <rFont val="Calibri"/>
        <family val="2"/>
        <scheme val="minor"/>
      </rPr>
      <t xml:space="preserve"> - 51x + 97.4</t>
    </r>
  </si>
  <si>
    <t>if R=2.387 MegaOhms</t>
  </si>
  <si>
    <t>Air Viscosity</t>
  </si>
  <si>
    <t>Temperature</t>
  </si>
  <si>
    <t>Nsm^-2</t>
  </si>
  <si>
    <t>Average Charge For Drop (Coulombs)</t>
  </si>
  <si>
    <t>Group 1</t>
  </si>
  <si>
    <t>Group 2</t>
  </si>
  <si>
    <t>Group 3</t>
  </si>
  <si>
    <t>Group 4</t>
  </si>
  <si>
    <t>Group 5</t>
  </si>
  <si>
    <t>Suspected Multiple of q</t>
  </si>
  <si>
    <t>temp=</t>
  </si>
  <si>
    <t>If Temp = 18.4</t>
  </si>
  <si>
    <t>viscosity is</t>
  </si>
  <si>
    <t xml:space="preserve">Group 4 </t>
  </si>
  <si>
    <t>Average (x10^-19 C)</t>
  </si>
  <si>
    <t>I ran the Table In Appendix A through a digitizer (Engauge) which outputs a few points from the curve.  Those points are listed to the left, and with the graph below I found an equation which will interpolate the actual viscosity based on the temperature.</t>
  </si>
  <si>
    <t>I plotted the temperature vs. resistance table listed in the Appendix of the PASCO manual below.  I got out a polynomial equation which roughly fits the data, and interpolated the temperature for a resistance of 2.387 MegaOhms.</t>
  </si>
  <si>
    <t>Thus, e appears to be 1.44E-19 Coulombs.  This is</t>
  </si>
  <si>
    <t>Different than the accepted value of 1.602E-19 C.</t>
  </si>
  <si>
    <t>Average Charge Per Drop</t>
  </si>
  <si>
    <t>Slope of Av. Charge per drop vs. suspected multiple of q</t>
  </si>
  <si>
    <t>Uncertainty of Slope</t>
  </si>
</sst>
</file>

<file path=xl/styles.xml><?xml version="1.0" encoding="utf-8"?>
<styleSheet xmlns="http://schemas.openxmlformats.org/spreadsheetml/2006/main">
  <numFmts count="1">
    <numFmt numFmtId="164" formatCode="0.000E+00"/>
  </numFmts>
  <fonts count="5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vertAlign val="superscript"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D13F"/>
        <bgColor indexed="64"/>
      </patternFill>
    </fill>
    <fill>
      <patternFill patternType="solid">
        <fgColor rgb="FFF2FE5C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11" fontId="0" fillId="0" borderId="0" xfId="0" applyNumberFormat="1"/>
    <xf numFmtId="0" fontId="0" fillId="0" borderId="0" xfId="0" applyFont="1"/>
    <xf numFmtId="11" fontId="0" fillId="0" borderId="0" xfId="0" applyNumberFormat="1" applyFont="1"/>
    <xf numFmtId="164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0" fillId="2" borderId="0" xfId="0" applyFill="1"/>
    <xf numFmtId="0" fontId="3" fillId="2" borderId="0" xfId="0" applyFont="1" applyFill="1" applyAlignment="1">
      <alignment horizontal="center" readingOrder="1"/>
    </xf>
    <xf numFmtId="0" fontId="1" fillId="2" borderId="0" xfId="0" applyFont="1" applyFill="1" applyAlignment="1">
      <alignment horizontal="center" readingOrder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5" xfId="0" applyFill="1" applyBorder="1"/>
    <xf numFmtId="0" fontId="0" fillId="0" borderId="2" xfId="0" applyBorder="1"/>
    <xf numFmtId="0" fontId="0" fillId="0" borderId="4" xfId="0" applyBorder="1"/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wrapText="1"/>
    </xf>
    <xf numFmtId="0" fontId="0" fillId="4" borderId="0" xfId="0" applyFill="1" applyBorder="1" applyAlignment="1">
      <alignment horizontal="center" wrapText="1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0" fillId="0" borderId="8" xfId="0" applyFill="1" applyBorder="1"/>
    <xf numFmtId="0" fontId="0" fillId="0" borderId="3" xfId="0" applyFill="1" applyBorder="1"/>
    <xf numFmtId="0" fontId="0" fillId="0" borderId="9" xfId="0" applyFill="1" applyBorder="1"/>
    <xf numFmtId="0" fontId="0" fillId="0" borderId="10" xfId="0" applyFill="1" applyBorder="1"/>
    <xf numFmtId="0" fontId="0" fillId="0" borderId="7" xfId="0" applyFill="1" applyBorder="1" applyAlignment="1">
      <alignment horizontal="center" vertical="center"/>
    </xf>
    <xf numFmtId="0" fontId="0" fillId="0" borderId="1" xfId="0" applyFill="1" applyBorder="1"/>
    <xf numFmtId="0" fontId="0" fillId="0" borderId="13" xfId="0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3" borderId="11" xfId="0" applyFill="1" applyBorder="1"/>
    <xf numFmtId="0" fontId="0" fillId="3" borderId="0" xfId="0" applyFill="1" applyBorder="1"/>
    <xf numFmtId="0" fontId="0" fillId="5" borderId="0" xfId="0" applyFill="1" applyBorder="1"/>
    <xf numFmtId="0" fontId="0" fillId="5" borderId="12" xfId="0" applyFill="1" applyBorder="1"/>
    <xf numFmtId="0" fontId="0" fillId="6" borderId="5" xfId="0" applyFill="1" applyBorder="1"/>
    <xf numFmtId="0" fontId="0" fillId="6" borderId="7" xfId="0" applyFill="1" applyBorder="1"/>
    <xf numFmtId="0" fontId="0" fillId="7" borderId="4" xfId="0" applyFill="1" applyBorder="1"/>
    <xf numFmtId="0" fontId="0" fillId="7" borderId="6" xfId="0" applyFill="1" applyBorder="1"/>
    <xf numFmtId="0" fontId="0" fillId="7" borderId="8" xfId="0" applyFill="1" applyBorder="1"/>
    <xf numFmtId="0" fontId="0" fillId="7" borderId="3" xfId="0" applyFill="1" applyBorder="1" applyAlignment="1">
      <alignment horizontal="center" vertical="center"/>
    </xf>
    <xf numFmtId="0" fontId="0" fillId="7" borderId="9" xfId="0" applyFill="1" applyBorder="1"/>
    <xf numFmtId="0" fontId="0" fillId="7" borderId="5" xfId="0" applyFill="1" applyBorder="1" applyAlignment="1">
      <alignment horizontal="center" vertical="center"/>
    </xf>
    <xf numFmtId="0" fontId="0" fillId="7" borderId="10" xfId="0" applyFill="1" applyBorder="1"/>
    <xf numFmtId="0" fontId="0" fillId="7" borderId="7" xfId="0" applyFill="1" applyBorder="1" applyAlignment="1">
      <alignment horizontal="center" vertical="center"/>
    </xf>
    <xf numFmtId="0" fontId="0" fillId="7" borderId="1" xfId="0" applyFill="1" applyBorder="1"/>
    <xf numFmtId="0" fontId="0" fillId="7" borderId="13" xfId="0" applyFill="1" applyBorder="1" applyAlignment="1">
      <alignment horizontal="center"/>
    </xf>
    <xf numFmtId="0" fontId="4" fillId="7" borderId="14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10" fontId="4" fillId="7" borderId="15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10" fontId="4" fillId="7" borderId="18" xfId="0" applyNumberFormat="1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5" formatCode="0.00E+00"/>
    </dxf>
    <dxf>
      <numFmt numFmtId="164" formatCode="0.000E+00"/>
    </dxf>
    <dxf>
      <numFmt numFmtId="164" formatCode="0.000E+00"/>
    </dxf>
  </dxfs>
  <tableStyles count="0" defaultTableStyle="TableStyleMedium9" defaultPivotStyle="PivotStyleLight16"/>
  <colors>
    <mruColors>
      <color rgb="FFF2FE5C"/>
      <color rgb="FFFFFF5B"/>
      <color rgb="FFFFD13F"/>
      <color rgb="FFFF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Charge</a:t>
            </a:r>
            <a:r>
              <a:rPr lang="en-US" baseline="0"/>
              <a:t> vs. Multiple of e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spPr>
            <a:ln>
              <a:noFill/>
            </a:ln>
          </c:spPr>
          <c:trendline>
            <c:trendlineType val="linear"/>
            <c:intercept val="0"/>
            <c:dispEq val="1"/>
            <c:trendlineLbl>
              <c:layout>
                <c:manualLayout>
                  <c:x val="7.6529090113735779E-2"/>
                  <c:y val="-0.19430263925342667"/>
                </c:manualLayout>
              </c:layout>
              <c:numFmt formatCode="General" sourceLinked="0"/>
            </c:trendlineLbl>
          </c:trendline>
          <c:xVal>
            <c:numRef>
              <c:f>'Main Sheet'!$A$57:$A$71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7</c:v>
                </c:pt>
              </c:numCache>
            </c:numRef>
          </c:xVal>
          <c:yVal>
            <c:numRef>
              <c:f>'Main Sheet'!$B$57:$B$71</c:f>
              <c:numCache>
                <c:formatCode>General</c:formatCode>
                <c:ptCount val="15"/>
                <c:pt idx="0">
                  <c:v>1.09998746358142</c:v>
                </c:pt>
                <c:pt idx="1">
                  <c:v>1.25415925530676</c:v>
                </c:pt>
                <c:pt idx="2">
                  <c:v>1.2968417473518301</c:v>
                </c:pt>
                <c:pt idx="3">
                  <c:v>1.3413749154988399</c:v>
                </c:pt>
                <c:pt idx="4">
                  <c:v>1.42805127304768</c:v>
                </c:pt>
                <c:pt idx="5">
                  <c:v>1.4407097653874601</c:v>
                </c:pt>
                <c:pt idx="6">
                  <c:v>1.5088061066832399</c:v>
                </c:pt>
                <c:pt idx="7">
                  <c:v>1.6371099594841401</c:v>
                </c:pt>
                <c:pt idx="8">
                  <c:v>3.2185642872642499</c:v>
                </c:pt>
                <c:pt idx="9">
                  <c:v>3.25854214965277</c:v>
                </c:pt>
                <c:pt idx="10">
                  <c:v>3.5803339164768699</c:v>
                </c:pt>
                <c:pt idx="11">
                  <c:v>4.1238037712081201</c:v>
                </c:pt>
                <c:pt idx="12">
                  <c:v>4.9996624403041503</c:v>
                </c:pt>
                <c:pt idx="13">
                  <c:v>7.5179783657099</c:v>
                </c:pt>
                <c:pt idx="14">
                  <c:v>9.2554548967949497</c:v>
                </c:pt>
              </c:numCache>
            </c:numRef>
          </c:yVal>
        </c:ser>
        <c:dLbls/>
        <c:axId val="46720896"/>
        <c:axId val="46719360"/>
      </c:scatterChart>
      <c:valAx>
        <c:axId val="46720896"/>
        <c:scaling>
          <c:orientation val="minMax"/>
        </c:scaling>
        <c:axPos val="b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  <a:alpha val="50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Multiple of q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46719360"/>
        <c:crosses val="autoZero"/>
        <c:crossBetween val="midCat"/>
      </c:valAx>
      <c:valAx>
        <c:axId val="46719360"/>
        <c:scaling>
          <c:orientation val="minMax"/>
        </c:scaling>
        <c:axPos val="l"/>
        <c:majorGridlines>
          <c:spPr>
            <a:ln>
              <a:solidFill>
                <a:sysClr val="windowText" lastClr="000000">
                  <a:tint val="75000"/>
                  <a:shade val="95000"/>
                  <a:satMod val="105000"/>
                  <a:alpha val="50000"/>
                </a:sys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Charge (x10</a:t>
                </a:r>
                <a:r>
                  <a:rPr lang="en-US" baseline="30000"/>
                  <a:t>-19</a:t>
                </a:r>
                <a:r>
                  <a:rPr lang="en-US" baseline="0"/>
                  <a:t>C)</a:t>
                </a:r>
                <a:endParaRPr lang="en-US" baseline="30000"/>
              </a:p>
            </c:rich>
          </c:tx>
          <c:layout/>
        </c:title>
        <c:numFmt formatCode="General" sourceLinked="1"/>
        <c:majorTickMark val="none"/>
        <c:tickLblPos val="nextTo"/>
        <c:crossAx val="46720896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6.5947522325475086E-2"/>
          <c:y val="3.5079051137565161E-2"/>
          <c:w val="0.64480827283976905"/>
          <c:h val="0.86229577937828872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Eq val="1"/>
            <c:trendlineLbl>
              <c:layout>
                <c:manualLayout>
                  <c:x val="0.45251509186351707"/>
                  <c:y val="0.23775627004957714"/>
                </c:manualLayout>
              </c:layout>
              <c:numFmt formatCode="0.00E+00" sourceLinked="0"/>
            </c:trendlineLbl>
          </c:trendline>
          <c:xVal>
            <c:numRef>
              <c:f>'Thermistor Temps'!$C$4:$C$33</c:f>
              <c:numCache>
                <c:formatCode>General</c:formatCode>
                <c:ptCount val="30"/>
                <c:pt idx="0">
                  <c:v>3.2389999999999999</c:v>
                </c:pt>
                <c:pt idx="1">
                  <c:v>3.1179999999999999</c:v>
                </c:pt>
                <c:pt idx="2">
                  <c:v>3.004</c:v>
                </c:pt>
                <c:pt idx="3">
                  <c:v>2.8969999999999998</c:v>
                </c:pt>
                <c:pt idx="4">
                  <c:v>2.7949999999999999</c:v>
                </c:pt>
                <c:pt idx="5">
                  <c:v>2.7</c:v>
                </c:pt>
                <c:pt idx="6">
                  <c:v>2.61</c:v>
                </c:pt>
                <c:pt idx="7">
                  <c:v>2.5259999999999998</c:v>
                </c:pt>
                <c:pt idx="8">
                  <c:v>2.4460000000000002</c:v>
                </c:pt>
                <c:pt idx="9">
                  <c:v>2.371</c:v>
                </c:pt>
                <c:pt idx="10">
                  <c:v>2.2999999999999998</c:v>
                </c:pt>
                <c:pt idx="11">
                  <c:v>2.2330000000000001</c:v>
                </c:pt>
                <c:pt idx="12">
                  <c:v>2.169</c:v>
                </c:pt>
                <c:pt idx="13">
                  <c:v>2.11</c:v>
                </c:pt>
                <c:pt idx="14">
                  <c:v>2.0529999999999999</c:v>
                </c:pt>
                <c:pt idx="15">
                  <c:v>2</c:v>
                </c:pt>
                <c:pt idx="16">
                  <c:v>1.95</c:v>
                </c:pt>
                <c:pt idx="17">
                  <c:v>1.9019999999999999</c:v>
                </c:pt>
                <c:pt idx="18">
                  <c:v>1.857</c:v>
                </c:pt>
                <c:pt idx="19">
                  <c:v>1.8149999999999999</c:v>
                </c:pt>
                <c:pt idx="20">
                  <c:v>1.774</c:v>
                </c:pt>
                <c:pt idx="21">
                  <c:v>1.736</c:v>
                </c:pt>
                <c:pt idx="22">
                  <c:v>1.7</c:v>
                </c:pt>
                <c:pt idx="23">
                  <c:v>1.6659999999999999</c:v>
                </c:pt>
                <c:pt idx="24">
                  <c:v>1.6339999999999999</c:v>
                </c:pt>
                <c:pt idx="25">
                  <c:v>1.603</c:v>
                </c:pt>
                <c:pt idx="26">
                  <c:v>1.5740000000000001</c:v>
                </c:pt>
                <c:pt idx="27">
                  <c:v>1.5469999999999999</c:v>
                </c:pt>
                <c:pt idx="28">
                  <c:v>1.5209999999999999</c:v>
                </c:pt>
                <c:pt idx="29">
                  <c:v>1.496</c:v>
                </c:pt>
              </c:numCache>
            </c:numRef>
          </c:xVal>
          <c:yVal>
            <c:numRef>
              <c:f>'Thermistor Temps'!$B$4:$B$33</c:f>
              <c:numCache>
                <c:formatCode>General</c:formatCode>
                <c:ptCount val="30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</c:numCache>
            </c:numRef>
          </c:yVal>
        </c:ser>
        <c:axId val="112791552"/>
        <c:axId val="112793088"/>
      </c:scatterChart>
      <c:valAx>
        <c:axId val="112791552"/>
        <c:scaling>
          <c:orientation val="minMax"/>
        </c:scaling>
        <c:axPos val="b"/>
        <c:numFmt formatCode="General" sourceLinked="1"/>
        <c:tickLblPos val="nextTo"/>
        <c:crossAx val="112793088"/>
        <c:crosses val="autoZero"/>
        <c:crossBetween val="midCat"/>
      </c:valAx>
      <c:valAx>
        <c:axId val="112793088"/>
        <c:scaling>
          <c:orientation val="minMax"/>
        </c:scaling>
        <c:axPos val="l"/>
        <c:majorGridlines/>
        <c:numFmt formatCode="General" sourceLinked="1"/>
        <c:tickLblPos val="nextTo"/>
        <c:crossAx val="11279155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Viscosity of Dry Air as a function of temperature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Series 1</c:v>
          </c:tx>
          <c:trendline>
            <c:trendlineType val="linear"/>
            <c:dispEq val="1"/>
            <c:trendlineLbl>
              <c:layout>
                <c:manualLayout>
                  <c:x val="0.41575699912510938"/>
                  <c:y val="4.3864829396325468E-3"/>
                </c:manualLayout>
              </c:layout>
              <c:numFmt formatCode="0.000E+00" sourceLinked="0"/>
            </c:trendlineLbl>
          </c:trendline>
          <c:xVal>
            <c:numRef>
              <c:f>Viscosity!$A$3:$A$7</c:f>
              <c:numCache>
                <c:formatCode>General</c:formatCode>
                <c:ptCount val="5"/>
                <c:pt idx="0">
                  <c:v>14.966100000000001</c:v>
                </c:pt>
                <c:pt idx="1">
                  <c:v>19.037400000000002</c:v>
                </c:pt>
                <c:pt idx="2">
                  <c:v>22.323</c:v>
                </c:pt>
                <c:pt idx="3">
                  <c:v>26.965699999999998</c:v>
                </c:pt>
                <c:pt idx="4">
                  <c:v>31.965599999999998</c:v>
                </c:pt>
              </c:numCache>
            </c:numRef>
          </c:xVal>
          <c:yVal>
            <c:numRef>
              <c:f>Viscosity!$B$3:$B$7</c:f>
              <c:numCache>
                <c:formatCode>0.00E+00</c:formatCode>
                <c:ptCount val="5"/>
                <c:pt idx="0">
                  <c:v>1.8003E-5</c:v>
                </c:pt>
                <c:pt idx="1">
                  <c:v>1.8195299999999998E-5</c:v>
                </c:pt>
                <c:pt idx="2">
                  <c:v>1.8351599999999999E-5</c:v>
                </c:pt>
                <c:pt idx="3">
                  <c:v>1.8570999999999999E-5</c:v>
                </c:pt>
                <c:pt idx="4">
                  <c:v>1.8808400000000001E-5</c:v>
                </c:pt>
              </c:numCache>
            </c:numRef>
          </c:yVal>
        </c:ser>
        <c:axId val="112461312"/>
        <c:axId val="112462848"/>
      </c:scatterChart>
      <c:valAx>
        <c:axId val="112461312"/>
        <c:scaling>
          <c:orientation val="minMax"/>
        </c:scaling>
        <c:axPos val="b"/>
        <c:numFmt formatCode="General" sourceLinked="1"/>
        <c:tickLblPos val="nextTo"/>
        <c:crossAx val="112462848"/>
        <c:crosses val="autoZero"/>
        <c:crossBetween val="midCat"/>
      </c:valAx>
      <c:valAx>
        <c:axId val="112462848"/>
        <c:scaling>
          <c:orientation val="minMax"/>
        </c:scaling>
        <c:axPos val="l"/>
        <c:majorGridlines/>
        <c:numFmt formatCode="0.00E+00" sourceLinked="1"/>
        <c:tickLblPos val="nextTo"/>
        <c:crossAx val="11246131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1495425</xdr:colOff>
      <xdr:row>64</xdr:row>
      <xdr:rowOff>152400</xdr:rowOff>
    </xdr:from>
    <xdr:to>
      <xdr:col>8</xdr:col>
      <xdr:colOff>95250</xdr:colOff>
      <xdr:row>79</xdr:row>
      <xdr:rowOff>38100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11</xdr:row>
      <xdr:rowOff>85725</xdr:rowOff>
    </xdr:from>
    <xdr:to>
      <xdr:col>17</xdr:col>
      <xdr:colOff>304800</xdr:colOff>
      <xdr:row>32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85725</xdr:rowOff>
    </xdr:from>
    <xdr:to>
      <xdr:col>14</xdr:col>
      <xdr:colOff>114300</xdr:colOff>
      <xdr:row>23</xdr:row>
      <xdr:rowOff>161925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viscosity of air vs temp" connectionId="1" autoFormatId="16" applyNumberFormats="0" applyBorderFormats="0" applyFontFormats="1" applyPatternFormats="1" applyAlignmentFormats="0" applyWidthHeightFormats="0"/>
</file>

<file path=xl/tables/table1.xml><?xml version="1.0" encoding="utf-8"?>
<table xmlns="http://schemas.openxmlformats.org/spreadsheetml/2006/main" id="1" name="Table1" displayName="Table1" ref="A3:I39" totalsRowShown="0" headerRowDxfId="0">
  <autoFilter ref="A3:I39"/>
  <tableColumns count="9">
    <tableColumn id="1" name="Oil Drop"/>
    <tableColumn id="2" name="Fall Time (sec)"/>
    <tableColumn id="3" name="Average Fall Speed (m/s)" dataDxfId="6">
      <calculatedColumnFormula>$C$41/B4</calculatedColumnFormula>
    </tableColumn>
    <tableColumn id="4" name="Rise Time (sec)"/>
    <tableColumn id="5" name="Average Rise Speed (m/s)" dataDxfId="5">
      <calculatedColumnFormula>$C$41/D4</calculatedColumnFormula>
    </tableColumn>
    <tableColumn id="6" name="Estimated Radius of Drop (in meters)" dataDxfId="4">
      <calculatedColumnFormula>SQRT(($C$45/(2*$C$46))^2+(9*$C$51*$C4)/(2*$C$49*$C$47))-($C$45/(2*$C$46))</calculatedColumnFormula>
    </tableColumn>
    <tableColumn id="7" name="Estimated Mass of Drop (kg)" dataDxfId="3">
      <calculatedColumnFormula>(4/3)*PI()*POWER($F4,3)*$C$47</calculatedColumnFormula>
    </tableColumn>
    <tableColumn id="8" name="Estimated Net Charge of Droplet (Coulombs)" dataDxfId="2">
      <calculatedColumnFormula>(G4*$C$49)*(C4+E4)/($C$50*C4)</calculatedColumnFormula>
    </tableColumn>
    <tableColumn id="9" name="Average Charge For Drop (Coulombs)" dataDxfId="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5"/>
  <sheetViews>
    <sheetView tabSelected="1" topLeftCell="A61" workbookViewId="0">
      <selection activeCell="E79" sqref="E79"/>
    </sheetView>
  </sheetViews>
  <sheetFormatPr defaultRowHeight="15"/>
  <cols>
    <col min="1" max="1" width="10.85546875" customWidth="1"/>
    <col min="2" max="2" width="25.140625" customWidth="1"/>
    <col min="3" max="3" width="19.140625" customWidth="1"/>
    <col min="4" max="4" width="15.7109375" bestFit="1" customWidth="1"/>
    <col min="5" max="5" width="24.140625" customWidth="1"/>
    <col min="6" max="6" width="21.85546875" customWidth="1"/>
    <col min="7" max="7" width="17.85546875" customWidth="1"/>
    <col min="8" max="8" width="25.7109375" customWidth="1"/>
    <col min="9" max="9" width="19" customWidth="1"/>
  </cols>
  <sheetData>
    <row r="1" spans="1:13" ht="15" customHeight="1">
      <c r="M1" s="9"/>
    </row>
    <row r="2" spans="1:13">
      <c r="A2" s="5"/>
      <c r="B2" s="13"/>
      <c r="C2" s="13"/>
      <c r="D2" s="5"/>
      <c r="E2" s="13"/>
      <c r="F2" s="13"/>
      <c r="G2" s="13"/>
      <c r="H2" s="13"/>
      <c r="I2" s="13"/>
      <c r="M2" s="9"/>
    </row>
    <row r="3" spans="1:13" ht="30">
      <c r="A3" s="5" t="s">
        <v>0</v>
      </c>
      <c r="B3" s="13" t="s">
        <v>1</v>
      </c>
      <c r="C3" s="13" t="s">
        <v>5</v>
      </c>
      <c r="D3" s="5" t="s">
        <v>2</v>
      </c>
      <c r="E3" s="13" t="s">
        <v>4</v>
      </c>
      <c r="F3" s="13" t="s">
        <v>15</v>
      </c>
      <c r="G3" s="13" t="s">
        <v>16</v>
      </c>
      <c r="H3" s="13" t="s">
        <v>17</v>
      </c>
      <c r="I3" s="13" t="s">
        <v>29</v>
      </c>
      <c r="M3" s="8"/>
    </row>
    <row r="4" spans="1:13">
      <c r="A4">
        <v>1</v>
      </c>
      <c r="B4">
        <v>72.78</v>
      </c>
      <c r="C4" s="4">
        <f>$C$41/B4</f>
        <v>6.8700192360538613E-6</v>
      </c>
      <c r="D4">
        <v>3.64</v>
      </c>
      <c r="E4" s="4">
        <f>$C$41/D4</f>
        <v>1.3736263736263736E-4</v>
      </c>
      <c r="F4" s="1">
        <f>SQRT(($C$45/(2*$C$46))^2+(9*$C$51*$C4)/(2*$C$49*$C$47))-($C$45/(2*$C$46))</f>
        <v>2.1213872910397267E-7</v>
      </c>
      <c r="G4" s="1">
        <f>(4/3)*PI()*POWER($F4,3)*$C$47</f>
        <v>3.5430902865389353E-17</v>
      </c>
      <c r="H4" s="1">
        <f>(G4*$C$49)*(C4+E4)/($C$50*C4)</f>
        <v>1.0999874635814221E-19</v>
      </c>
      <c r="I4" s="1">
        <f>H4</f>
        <v>1.0999874635814221E-19</v>
      </c>
      <c r="M4" s="8"/>
    </row>
    <row r="5" spans="1:13">
      <c r="A5">
        <v>2</v>
      </c>
      <c r="B5">
        <v>43.62</v>
      </c>
      <c r="C5" s="4">
        <f t="shared" ref="C5:C39" si="0">$C$41/B5</f>
        <v>1.1462631820265934E-5</v>
      </c>
      <c r="D5">
        <v>1.8</v>
      </c>
      <c r="E5" s="4">
        <f t="shared" ref="E5:E39" si="1">$C$41/D5</f>
        <v>2.7777777777777778E-4</v>
      </c>
      <c r="F5" s="1">
        <f>SQRT(($C$45/(2*$C$46))^2+(9*$C$51*$C5)/(2*$C$49*$C$47))-($C$45/(2*$C$46))</f>
        <v>2.8537885328516095E-7</v>
      </c>
      <c r="G5" s="1">
        <f>(4/3)*PI()*POWER($F5,3)*$C$47</f>
        <v>8.6255678707685757E-17</v>
      </c>
      <c r="H5" s="1">
        <f t="shared" ref="H5:H39" si="2">(G5*$C$49)*(C5+E5)/($C$50*C5)</f>
        <v>3.2185642872642525E-19</v>
      </c>
      <c r="I5" s="1">
        <f t="shared" ref="I5:I6" si="3">H5</f>
        <v>3.2185642872642525E-19</v>
      </c>
      <c r="M5" s="8"/>
    </row>
    <row r="6" spans="1:13">
      <c r="A6">
        <v>3</v>
      </c>
      <c r="B6">
        <v>35.369999999999997</v>
      </c>
      <c r="C6" s="4">
        <f t="shared" si="0"/>
        <v>1.4136273678258412E-5</v>
      </c>
      <c r="D6">
        <v>0.71</v>
      </c>
      <c r="E6" s="4">
        <f t="shared" si="1"/>
        <v>7.0422535211267609E-4</v>
      </c>
      <c r="F6" s="1">
        <f>SQRT(($C$45/(2*$C$46))^2+(9*$C$51*$C6)/(2*$C$49*$C$47))-($C$45/(2*$C$46))</f>
        <v>3.2135801068392918E-7</v>
      </c>
      <c r="G6" s="1">
        <f>(4/3)*PI()*POWER($F6,3)*$C$47</f>
        <v>1.2316568372958519E-16</v>
      </c>
      <c r="H6" s="1">
        <f t="shared" si="2"/>
        <v>9.2554548967949546E-19</v>
      </c>
      <c r="I6" s="1">
        <f t="shared" si="3"/>
        <v>9.2554548967949546E-19</v>
      </c>
      <c r="M6" s="8"/>
    </row>
    <row r="7" spans="1:13">
      <c r="A7">
        <v>4</v>
      </c>
      <c r="B7">
        <v>25.36</v>
      </c>
      <c r="C7" s="4">
        <f t="shared" si="0"/>
        <v>1.9716088328075711E-5</v>
      </c>
      <c r="D7">
        <v>2.61</v>
      </c>
      <c r="E7" s="4">
        <f t="shared" si="1"/>
        <v>1.9157088122605365E-4</v>
      </c>
      <c r="F7" s="1">
        <f>SQRT(($C$45/(2*$C$46))^2+(9*$C$51*$C7)/(2*$C$49*$C$47))-($C$45/(2*$C$46))</f>
        <v>3.8692555637875598E-7</v>
      </c>
      <c r="G7" s="1">
        <f>(4/3)*PI()*POWER($F7,3)*$C$47</f>
        <v>2.1498322744542831E-16</v>
      </c>
      <c r="H7" s="1">
        <f t="shared" si="2"/>
        <v>3.406876605462767E-19</v>
      </c>
      <c r="I7" s="1">
        <f>AVERAGE(H7:H8)</f>
        <v>3.2585421496527682E-19</v>
      </c>
      <c r="M7" s="8"/>
    </row>
    <row r="8" spans="1:13">
      <c r="A8">
        <v>4</v>
      </c>
      <c r="B8">
        <v>24.25</v>
      </c>
      <c r="C8" s="4">
        <f t="shared" si="0"/>
        <v>2.0618556701030927E-5</v>
      </c>
      <c r="D8">
        <v>3</v>
      </c>
      <c r="E8" s="4">
        <f t="shared" si="1"/>
        <v>1.6666666666666666E-4</v>
      </c>
      <c r="F8" s="1">
        <f>SQRT(($C$45/(2*$C$46))^2+(9*$C$51*$C8)/(2*$C$49*$C$47))-($C$45/(2*$C$46))</f>
        <v>3.9661942500415522E-7</v>
      </c>
      <c r="G8" s="1">
        <f>(4/3)*PI()*POWER($F8,3)*$C$47</f>
        <v>2.3154972681359175E-16</v>
      </c>
      <c r="H8" s="1">
        <f t="shared" si="2"/>
        <v>3.1102076938427694E-19</v>
      </c>
      <c r="M8" s="8"/>
    </row>
    <row r="9" spans="1:13">
      <c r="A9">
        <v>5</v>
      </c>
      <c r="B9">
        <v>30.53</v>
      </c>
      <c r="C9" s="4">
        <f t="shared" si="0"/>
        <v>1.6377333770062233E-5</v>
      </c>
      <c r="D9">
        <v>4.93</v>
      </c>
      <c r="E9" s="4">
        <f t="shared" si="1"/>
        <v>1.0141987829614606E-4</v>
      </c>
      <c r="F9" s="1">
        <f>SQRT(($C$45/(2*$C$46))^2+(9*$C$51*$C9)/(2*$C$49*$C$47))-($C$45/(2*$C$46))</f>
        <v>3.4900126625766414E-7</v>
      </c>
      <c r="G9" s="1">
        <f>(4/3)*PI()*POWER($F9,3)*$C$47</f>
        <v>1.5776233998142045E-16</v>
      </c>
      <c r="H9" s="1">
        <f t="shared" si="2"/>
        <v>1.6780118279724482E-19</v>
      </c>
      <c r="I9" s="1">
        <f>AVERAGE(H9:H10)</f>
        <v>1.6371099594841368E-19</v>
      </c>
      <c r="M9" s="8"/>
    </row>
    <row r="10" spans="1:13">
      <c r="A10">
        <v>5</v>
      </c>
      <c r="B10">
        <v>31.98</v>
      </c>
      <c r="C10" s="4">
        <f t="shared" si="0"/>
        <v>1.5634771732332708E-5</v>
      </c>
      <c r="D10">
        <v>5</v>
      </c>
      <c r="E10" s="4">
        <f t="shared" si="1"/>
        <v>1E-4</v>
      </c>
      <c r="F10" s="1">
        <f>SQRT(($C$45/(2*$C$46))^2+(9*$C$51*$C10)/(2*$C$49*$C$47))-($C$45/(2*$C$46))</f>
        <v>3.4006098039314595E-7</v>
      </c>
      <c r="G10" s="1">
        <f>(4/3)*PI()*POWER($F10,3)*$C$47</f>
        <v>1.459461822222214E-16</v>
      </c>
      <c r="H10" s="1">
        <f t="shared" si="2"/>
        <v>1.5962080909958257E-19</v>
      </c>
      <c r="M10" s="8"/>
    </row>
    <row r="11" spans="1:13">
      <c r="A11">
        <v>6</v>
      </c>
      <c r="B11">
        <v>30.08</v>
      </c>
      <c r="C11" s="4">
        <f t="shared" si="0"/>
        <v>1.6622340425531915E-5</v>
      </c>
      <c r="D11">
        <v>4.33</v>
      </c>
      <c r="E11" s="4">
        <f t="shared" si="1"/>
        <v>1.1547344110854503E-4</v>
      </c>
      <c r="F11" s="1">
        <f>SQRT(($C$45/(2*$C$46))^2+(9*$C$51*$C11)/(2*$C$49*$C$47))-($C$45/(2*$C$46))</f>
        <v>3.5190705912006666E-7</v>
      </c>
      <c r="G11" s="1">
        <f>(4/3)*PI()*POWER($F11,3)*$C$47</f>
        <v>1.6173583957067426E-16</v>
      </c>
      <c r="H11" s="1">
        <f t="shared" si="2"/>
        <v>1.9006533266173317E-19</v>
      </c>
      <c r="I11" s="1">
        <f>AVERAGE(H11:H12)</f>
        <v>1.5088061066832405E-19</v>
      </c>
      <c r="M11" s="8"/>
    </row>
    <row r="12" spans="1:13">
      <c r="A12">
        <v>6</v>
      </c>
      <c r="B12">
        <v>58.87</v>
      </c>
      <c r="C12" s="4">
        <f t="shared" si="0"/>
        <v>8.4932903006624776E-6</v>
      </c>
      <c r="D12">
        <v>4.3</v>
      </c>
      <c r="E12" s="4">
        <f t="shared" si="1"/>
        <v>1.1627906976744187E-4</v>
      </c>
      <c r="F12" s="1">
        <f>SQRT(($C$45/(2*$C$46))^2+(9*$C$51*$C12)/(2*$C$49*$C$47))-($C$45/(2*$C$46))</f>
        <v>2.4017300371417609E-7</v>
      </c>
      <c r="G12" s="1">
        <f>(4/3)*PI()*POWER($F12,3)*$C$47</f>
        <v>5.1415599022776548E-17</v>
      </c>
      <c r="H12" s="1">
        <f t="shared" si="2"/>
        <v>1.1169588867491493E-19</v>
      </c>
      <c r="M12" s="8"/>
    </row>
    <row r="13" spans="1:13">
      <c r="A13">
        <v>7</v>
      </c>
      <c r="B13">
        <v>12.8</v>
      </c>
      <c r="C13" s="4">
        <f t="shared" si="0"/>
        <v>3.9062500000000001E-5</v>
      </c>
      <c r="D13">
        <v>3.2</v>
      </c>
      <c r="E13" s="4">
        <f t="shared" si="1"/>
        <v>1.5625E-4</v>
      </c>
      <c r="F13" s="1">
        <f>SQRT(($C$45/(2*$C$46))^2+(9*$C$51*$C13)/(2*$C$49*$C$47))-($C$45/(2*$C$46))</f>
        <v>5.6177690935571493E-7</v>
      </c>
      <c r="G13" s="1">
        <f>(4/3)*PI()*POWER($F13,3)*$C$47</f>
        <v>6.5798195694227617E-16</v>
      </c>
      <c r="H13" s="1">
        <f t="shared" si="2"/>
        <v>4.8650113241829417E-19</v>
      </c>
      <c r="I13" s="1">
        <f>AVERAGE(H13:H14)</f>
        <v>4.9996624403041455E-19</v>
      </c>
      <c r="M13" s="8"/>
    </row>
    <row r="14" spans="1:13">
      <c r="A14">
        <v>7</v>
      </c>
      <c r="B14">
        <v>12.56</v>
      </c>
      <c r="C14" s="4">
        <f t="shared" si="0"/>
        <v>3.9808917197452227E-5</v>
      </c>
      <c r="D14">
        <v>3.05</v>
      </c>
      <c r="E14" s="4">
        <f t="shared" si="1"/>
        <v>1.639344262295082E-4</v>
      </c>
      <c r="F14" s="1">
        <f>SQRT(($C$45/(2*$C$46))^2+(9*$C$51*$C14)/(2*$C$49*$C$47))-($C$45/(2*$C$46))</f>
        <v>5.6752592969421592E-7</v>
      </c>
      <c r="G14" s="1">
        <f>(4/3)*PI()*POWER($F14,3)*$C$47</f>
        <v>6.7839003145387978E-16</v>
      </c>
      <c r="H14" s="1">
        <f t="shared" si="2"/>
        <v>5.1343135564253494E-19</v>
      </c>
      <c r="M14" s="8"/>
    </row>
    <row r="15" spans="1:13">
      <c r="A15">
        <v>8</v>
      </c>
      <c r="B15">
        <v>33.090000000000003</v>
      </c>
      <c r="C15" s="4">
        <f t="shared" si="0"/>
        <v>1.5110305228165608E-5</v>
      </c>
      <c r="D15">
        <v>4.58</v>
      </c>
      <c r="E15" s="4">
        <f t="shared" si="1"/>
        <v>1.091703056768559E-4</v>
      </c>
      <c r="F15" s="1">
        <f>SQRT(($C$45/(2*$C$46))^2+(9*$C$51*$C15)/(2*$C$49*$C$47))-($C$45/(2*$C$46))</f>
        <v>3.3361977691813514E-7</v>
      </c>
      <c r="G15" s="1">
        <f>(4/3)*PI()*POWER($F15,3)*$C$47</f>
        <v>1.3780903577963522E-16</v>
      </c>
      <c r="H15" s="1">
        <f t="shared" si="2"/>
        <v>1.6761300134343391E-19</v>
      </c>
      <c r="I15" s="1">
        <f>AVERAGE(H15:H17)</f>
        <v>1.4280512730476763E-19</v>
      </c>
      <c r="M15" s="8"/>
    </row>
    <row r="16" spans="1:13">
      <c r="A16">
        <v>8</v>
      </c>
      <c r="B16">
        <v>41.59</v>
      </c>
      <c r="C16" s="4">
        <f t="shared" si="0"/>
        <v>1.2022120702091848E-5</v>
      </c>
      <c r="D16">
        <v>4.8899999999999997</v>
      </c>
      <c r="E16" s="4">
        <f t="shared" si="1"/>
        <v>1.0224948875255625E-4</v>
      </c>
      <c r="F16" s="1">
        <f>SQRT(($C$45/(2*$C$46))^2+(9*$C$51*$C16)/(2*$C$49*$C$47))-($C$45/(2*$C$46))</f>
        <v>2.9322345246106794E-7</v>
      </c>
      <c r="G16" s="1">
        <f>(4/3)*PI()*POWER($F16,3)*$C$47</f>
        <v>9.356608108066795E-17</v>
      </c>
      <c r="H16" s="1">
        <f t="shared" si="2"/>
        <v>1.3151508399580251E-19</v>
      </c>
      <c r="M16" s="8"/>
    </row>
    <row r="17" spans="1:13">
      <c r="A17">
        <v>8</v>
      </c>
      <c r="B17">
        <v>46.86</v>
      </c>
      <c r="C17" s="4">
        <f t="shared" si="0"/>
        <v>1.0670081092616305E-5</v>
      </c>
      <c r="D17">
        <v>4.4800000000000004</v>
      </c>
      <c r="E17" s="4">
        <f t="shared" si="1"/>
        <v>1.1160714285714285E-4</v>
      </c>
      <c r="F17" s="1">
        <f>SQRT(($C$45/(2*$C$46))^2+(9*$C$51*$C17)/(2*$C$49*$C$47))-($C$45/(2*$C$46))</f>
        <v>2.7393778222649479E-7</v>
      </c>
      <c r="G17" s="1">
        <f>(4/3)*PI()*POWER($F17,3)*$C$47</f>
        <v>7.6291848465721342E-17</v>
      </c>
      <c r="H17" s="1">
        <f t="shared" si="2"/>
        <v>1.2928729657506653E-19</v>
      </c>
      <c r="M17" s="8"/>
    </row>
    <row r="18" spans="1:13">
      <c r="A18">
        <v>9</v>
      </c>
      <c r="B18">
        <v>19.52</v>
      </c>
      <c r="C18" s="4">
        <f t="shared" si="0"/>
        <v>2.5614754098360656E-5</v>
      </c>
      <c r="D18">
        <v>1.36</v>
      </c>
      <c r="E18" s="4">
        <f t="shared" si="1"/>
        <v>3.6764705882352941E-4</v>
      </c>
      <c r="F18" s="1">
        <f>SQRT(($C$45/(2*$C$46))^2+(9*$C$51*$C18)/(2*$C$49*$C$47))-($C$45/(2*$C$46))</f>
        <v>4.4685068632749084E-7</v>
      </c>
      <c r="G18" s="1">
        <f>(4/3)*PI()*POWER($F18,3)*$C$47</f>
        <v>3.3113845574216258E-16</v>
      </c>
      <c r="H18" s="1">
        <f t="shared" si="2"/>
        <v>7.5179783657098998E-19</v>
      </c>
      <c r="I18" s="1">
        <f>H18</f>
        <v>7.5179783657098998E-19</v>
      </c>
      <c r="M18" s="8"/>
    </row>
    <row r="19" spans="1:13">
      <c r="A19">
        <v>9</v>
      </c>
      <c r="B19">
        <v>36</v>
      </c>
      <c r="C19" s="4">
        <f t="shared" si="0"/>
        <v>1.388888888888889E-5</v>
      </c>
      <c r="D19">
        <v>3.21</v>
      </c>
      <c r="E19" s="4">
        <f t="shared" si="1"/>
        <v>1.5576323987538941E-4</v>
      </c>
      <c r="F19" s="1">
        <f>SQRT(($C$45/(2*$C$46))^2+(9*$C$51*$C19)/(2*$C$49*$C$47))-($C$45/(2*$C$46))</f>
        <v>3.1817808557175772E-7</v>
      </c>
      <c r="G19" s="1">
        <f>(4/3)*PI()*POWER($F19,3)*$C$47</f>
        <v>1.1954547018161389E-16</v>
      </c>
      <c r="H19" s="1">
        <f t="shared" si="2"/>
        <v>2.1593587503213966E-19</v>
      </c>
      <c r="M19" s="8"/>
    </row>
    <row r="20" spans="1:13">
      <c r="A20">
        <v>10</v>
      </c>
      <c r="B20">
        <v>29.58</v>
      </c>
      <c r="C20" s="4">
        <f t="shared" si="0"/>
        <v>1.6903313049357674E-5</v>
      </c>
      <c r="D20">
        <v>6.09</v>
      </c>
      <c r="E20" s="4">
        <f t="shared" si="1"/>
        <v>8.2101806239737277E-5</v>
      </c>
      <c r="F20" s="1">
        <f>SQRT(($C$45/(2*$C$46))^2+(9*$C$51*$C20)/(2*$C$49*$C$47))-($C$45/(2*$C$46))</f>
        <v>3.5521352637149356E-7</v>
      </c>
      <c r="G20" s="1">
        <f>(4/3)*PI()*POWER($F20,3)*$C$47</f>
        <v>1.6633774772185356E-16</v>
      </c>
      <c r="H20" s="1">
        <f t="shared" si="2"/>
        <v>1.4407097653874567E-19</v>
      </c>
      <c r="I20" s="1">
        <f>H20</f>
        <v>1.4407097653874567E-19</v>
      </c>
      <c r="M20" s="8"/>
    </row>
    <row r="21" spans="1:13">
      <c r="A21">
        <v>11</v>
      </c>
      <c r="B21">
        <v>33</v>
      </c>
      <c r="C21" s="4">
        <f t="shared" si="0"/>
        <v>1.5151515151515151E-5</v>
      </c>
      <c r="D21">
        <v>5.23</v>
      </c>
      <c r="E21" s="4">
        <f t="shared" si="1"/>
        <v>9.5602294455066921E-5</v>
      </c>
      <c r="F21" s="1">
        <f>SQRT(($C$45/(2*$C$46))^2+(9*$C$51*$C21)/(2*$C$49*$C$47))-($C$45/(2*$C$46))</f>
        <v>3.3412984178593831E-7</v>
      </c>
      <c r="G21" s="1">
        <f>(4/3)*PI()*POWER($F21,3)*$C$47</f>
        <v>1.3844208341037594E-16</v>
      </c>
      <c r="H21" s="1">
        <f t="shared" si="2"/>
        <v>1.496478914710039E-19</v>
      </c>
      <c r="I21" s="1">
        <f>AVERAGE(H21:H23)</f>
        <v>1.2968417473518339E-19</v>
      </c>
      <c r="M21" s="8"/>
    </row>
    <row r="22" spans="1:13">
      <c r="A22">
        <v>11</v>
      </c>
      <c r="B22">
        <v>46.52</v>
      </c>
      <c r="C22" s="4">
        <f t="shared" si="0"/>
        <v>1.0748065348237317E-5</v>
      </c>
      <c r="D22">
        <v>5.17</v>
      </c>
      <c r="E22" s="4">
        <f t="shared" si="1"/>
        <v>9.6711798839458412E-5</v>
      </c>
      <c r="F22" s="1">
        <f>SQRT(($C$45/(2*$C$46))^2+(9*$C$51*$C22)/(2*$C$49*$C$47))-($C$45/(2*$C$46))</f>
        <v>2.7508160973036179E-7</v>
      </c>
      <c r="G22" s="1">
        <f>(4/3)*PI()*POWER($F22,3)*$C$47</f>
        <v>7.7251514506759292E-17</v>
      </c>
      <c r="H22" s="1">
        <f t="shared" si="2"/>
        <v>1.1421492477976978E-19</v>
      </c>
      <c r="M22" s="8"/>
    </row>
    <row r="23" spans="1:13">
      <c r="A23">
        <v>11</v>
      </c>
      <c r="B23">
        <v>40.630000000000003</v>
      </c>
      <c r="C23" s="4">
        <f t="shared" si="0"/>
        <v>1.2306177701206005E-5</v>
      </c>
      <c r="D23">
        <v>5.28</v>
      </c>
      <c r="E23" s="4">
        <f t="shared" si="1"/>
        <v>9.4696969696969697E-5</v>
      </c>
      <c r="F23" s="1">
        <f>SQRT(($C$45/(2*$C$46))^2+(9*$C$51*$C23)/(2*$C$49*$C$47))-($C$45/(2*$C$46))</f>
        <v>2.9713765125012563E-7</v>
      </c>
      <c r="G23" s="1">
        <f>(4/3)*PI()*POWER($F23,3)*$C$47</f>
        <v>9.7363323366947953E-17</v>
      </c>
      <c r="H23" s="1">
        <f t="shared" si="2"/>
        <v>1.2518970795477654E-19</v>
      </c>
      <c r="M23" s="8"/>
    </row>
    <row r="24" spans="1:13">
      <c r="A24">
        <v>12</v>
      </c>
      <c r="B24">
        <v>49.5</v>
      </c>
      <c r="C24" s="4">
        <f t="shared" si="0"/>
        <v>1.0101010101010101E-5</v>
      </c>
      <c r="D24">
        <v>3.55</v>
      </c>
      <c r="E24" s="4">
        <f t="shared" si="1"/>
        <v>1.4084507042253522E-4</v>
      </c>
      <c r="F24" s="1">
        <f>SQRT(($C$45/(2*$C$46))^2+(9*$C$51*$C24)/(2*$C$49*$C$47))-($C$45/(2*$C$46))</f>
        <v>2.6546397307117714E-7</v>
      </c>
      <c r="G24" s="1">
        <f>(4/3)*PI()*POWER($F24,3)*$C$47</f>
        <v>6.9428710813309651E-17</v>
      </c>
      <c r="H24" s="1">
        <f t="shared" si="2"/>
        <v>1.5342495439045308E-19</v>
      </c>
      <c r="I24" s="1">
        <f>AVERAGE(H24:H25)</f>
        <v>1.2541592553067641E-19</v>
      </c>
      <c r="M24" s="8"/>
    </row>
    <row r="25" spans="1:13">
      <c r="A25">
        <v>12</v>
      </c>
      <c r="B25">
        <v>75.23</v>
      </c>
      <c r="C25" s="4">
        <f t="shared" si="0"/>
        <v>6.6462847268376979E-6</v>
      </c>
      <c r="D25">
        <v>4.0199999999999996</v>
      </c>
      <c r="E25" s="4">
        <f t="shared" si="1"/>
        <v>1.2437810945273634E-4</v>
      </c>
      <c r="F25" s="1">
        <f>SQRT(($C$45/(2*$C$46))^2+(9*$C$51*$C25)/(2*$C$49*$C$47))-($C$45/(2*$C$46))</f>
        <v>2.0803261610254581E-7</v>
      </c>
      <c r="G25" s="1">
        <f>(4/3)*PI()*POWER($F25,3)*$C$47</f>
        <v>3.3413088642398129E-17</v>
      </c>
      <c r="H25" s="1">
        <f t="shared" si="2"/>
        <v>9.7406896670899746E-20</v>
      </c>
      <c r="M25" s="8"/>
    </row>
    <row r="26" spans="1:13">
      <c r="A26">
        <v>13</v>
      </c>
      <c r="B26">
        <v>60.52</v>
      </c>
      <c r="C26" s="4">
        <f t="shared" si="0"/>
        <v>8.2617316589557161E-6</v>
      </c>
      <c r="D26">
        <v>1.25</v>
      </c>
      <c r="E26" s="4">
        <f t="shared" si="1"/>
        <v>4.0000000000000002E-4</v>
      </c>
      <c r="F26" s="1">
        <f>SQRT(($C$45/(2*$C$46))^2+(9*$C$51*$C26)/(2*$C$49*$C$47))-($C$45/(2*$C$46))</f>
        <v>2.3634400039083835E-7</v>
      </c>
      <c r="G26" s="1">
        <f>(4/3)*PI()*POWER($F26,3)*$C$47</f>
        <v>4.8995486882601341E-17</v>
      </c>
      <c r="H26" s="1">
        <f t="shared" si="2"/>
        <v>3.5803339164768694E-19</v>
      </c>
      <c r="I26" s="1">
        <f>H26</f>
        <v>3.5803339164768694E-19</v>
      </c>
      <c r="M26" s="8"/>
    </row>
    <row r="27" spans="1:13">
      <c r="A27">
        <v>14</v>
      </c>
      <c r="B27">
        <v>19.34</v>
      </c>
      <c r="C27" s="4">
        <f t="shared" si="0"/>
        <v>2.5853154084798345E-5</v>
      </c>
      <c r="D27">
        <v>11.71</v>
      </c>
      <c r="E27" s="4">
        <f t="shared" si="1"/>
        <v>4.2698548249359523E-5</v>
      </c>
      <c r="F27" s="1">
        <f>SQRT(($C$45/(2*$C$46))^2+(9*$C$51*$C27)/(2*$C$49*$C$47))-($C$45/(2*$C$46))</f>
        <v>4.4912025132531502E-7</v>
      </c>
      <c r="G27" s="1">
        <f>(4/3)*PI()*POWER($F27,3)*$C$47</f>
        <v>3.3620970543078294E-16</v>
      </c>
      <c r="H27" s="1">
        <f t="shared" si="2"/>
        <v>1.3183017303614612E-19</v>
      </c>
      <c r="I27" s="1">
        <f>AVERAGE(H27:H29)</f>
        <v>4.1238037712081245E-19</v>
      </c>
      <c r="M27" s="8"/>
    </row>
    <row r="28" spans="1:13">
      <c r="A28">
        <v>14</v>
      </c>
      <c r="B28">
        <v>33.25</v>
      </c>
      <c r="C28" s="4">
        <f t="shared" si="0"/>
        <v>1.5037593984962406E-5</v>
      </c>
      <c r="D28">
        <v>4.84</v>
      </c>
      <c r="E28" s="4">
        <f t="shared" si="1"/>
        <v>1.0330578512396695E-4</v>
      </c>
      <c r="F28" s="1">
        <f>SQRT(($C$45/(2*$C$46))^2+(9*$C$51*$C28)/(2*$C$49*$C$47))-($C$45/(2*$C$46))</f>
        <v>3.3271813893666041E-7</v>
      </c>
      <c r="G28" s="1">
        <f>(4/3)*PI()*POWER($F28,3)*$C$47</f>
        <v>1.3669472813505001E-16</v>
      </c>
      <c r="H28" s="1">
        <f t="shared" si="2"/>
        <v>1.5908060835133902E-19</v>
      </c>
      <c r="M28" s="8"/>
    </row>
    <row r="29" spans="1:13">
      <c r="A29">
        <v>14</v>
      </c>
      <c r="B29">
        <v>22.86</v>
      </c>
      <c r="C29" s="4">
        <f t="shared" si="0"/>
        <v>2.1872265966754158E-5</v>
      </c>
      <c r="D29">
        <v>0.95</v>
      </c>
      <c r="E29" s="4">
        <f t="shared" si="1"/>
        <v>5.263157894736842E-4</v>
      </c>
      <c r="F29" s="1">
        <f>SQRT(($C$45/(2*$C$46))^2+(9*$C$51*$C29)/(2*$C$49*$C$47))-($C$45/(2*$C$46))</f>
        <v>4.0974433888188229E-7</v>
      </c>
      <c r="G29" s="1">
        <f>(4/3)*PI()*POWER($F29,3)*$C$47</f>
        <v>2.5530611507223886E-16</v>
      </c>
      <c r="H29" s="1">
        <f t="shared" si="2"/>
        <v>9.4623034997495223E-19</v>
      </c>
      <c r="M29" s="8"/>
    </row>
    <row r="30" spans="1:13">
      <c r="A30">
        <v>15</v>
      </c>
      <c r="B30">
        <v>22.58</v>
      </c>
      <c r="C30" s="4">
        <f t="shared" si="0"/>
        <v>2.2143489813994687E-5</v>
      </c>
      <c r="D30">
        <v>10.52</v>
      </c>
      <c r="E30" s="4">
        <f t="shared" si="1"/>
        <v>4.7528517110266163E-5</v>
      </c>
      <c r="F30" s="1">
        <f>SQRT(($C$45/(2*$C$46))^2+(9*$C$51*$C30)/(2*$C$49*$C$47))-($C$45/(2*$C$46))</f>
        <v>4.1253435451576712E-7</v>
      </c>
      <c r="G30" s="1">
        <f>(4/3)*PI()*POWER($F30,3)*$C$47</f>
        <v>2.6055696942763097E-16</v>
      </c>
      <c r="H30" s="1">
        <f t="shared" si="2"/>
        <v>1.2123131464990973E-19</v>
      </c>
      <c r="I30" s="1">
        <f>AVERAGE(H30:H34)</f>
        <v>1.3413749154988368E-19</v>
      </c>
      <c r="M30" s="8"/>
    </row>
    <row r="31" spans="1:13">
      <c r="A31">
        <v>15</v>
      </c>
      <c r="B31">
        <v>18.05</v>
      </c>
      <c r="C31" s="4">
        <f t="shared" si="0"/>
        <v>2.7700831024930747E-5</v>
      </c>
      <c r="D31">
        <v>12.61</v>
      </c>
      <c r="E31" s="4">
        <f t="shared" si="1"/>
        <v>3.9651070578905632E-5</v>
      </c>
      <c r="F31" s="1">
        <f>SQRT(($C$45/(2*$C$46))^2+(9*$C$51*$C31)/(2*$C$49*$C$47))-($C$45/(2*$C$46))</f>
        <v>4.6636955327015214E-7</v>
      </c>
      <c r="G31" s="1">
        <f>(4/3)*PI()*POWER($F31,3)*$C$47</f>
        <v>3.7645485378685972E-16</v>
      </c>
      <c r="H31" s="1">
        <f t="shared" si="2"/>
        <v>1.3535360633785127E-19</v>
      </c>
      <c r="M31" s="8"/>
    </row>
    <row r="32" spans="1:13">
      <c r="A32">
        <v>15</v>
      </c>
      <c r="B32">
        <v>18.420000000000002</v>
      </c>
      <c r="C32" s="4">
        <f t="shared" si="0"/>
        <v>2.7144408251900106E-5</v>
      </c>
      <c r="D32">
        <v>13.59</v>
      </c>
      <c r="E32" s="4">
        <f t="shared" si="1"/>
        <v>3.6791758646063282E-5</v>
      </c>
      <c r="F32" s="1">
        <f>SQRT(($C$45/(2*$C$46))^2+(9*$C$51*$C32)/(2*$C$49*$C$47))-($C$45/(2*$C$46))</f>
        <v>4.6123666368471172E-7</v>
      </c>
      <c r="G32" s="1">
        <f>(4/3)*PI()*POWER($F32,3)*$C$47</f>
        <v>3.6416130551962169E-16</v>
      </c>
      <c r="H32" s="1">
        <f t="shared" si="2"/>
        <v>1.2684106541492882E-19</v>
      </c>
      <c r="M32" s="8"/>
    </row>
    <row r="33" spans="1:13">
      <c r="A33">
        <v>15</v>
      </c>
      <c r="B33">
        <v>17.649999999999999</v>
      </c>
      <c r="C33" s="4">
        <f t="shared" si="0"/>
        <v>2.8328611898017001E-5</v>
      </c>
      <c r="D33">
        <v>12.96</v>
      </c>
      <c r="E33" s="4">
        <f t="shared" si="1"/>
        <v>3.8580246913580246E-5</v>
      </c>
      <c r="F33" s="1">
        <f>SQRT(($C$45/(2*$C$46))^2+(9*$C$51*$C33)/(2*$C$49*$C$47))-($C$45/(2*$C$46))</f>
        <v>4.7209969659334706E-7</v>
      </c>
      <c r="G33" s="1">
        <f>(4/3)*PI()*POWER($F33,3)*$C$47</f>
        <v>3.9050220918681036E-16</v>
      </c>
      <c r="H33" s="1">
        <f t="shared" si="2"/>
        <v>1.3638973631351968E-19</v>
      </c>
      <c r="M33" s="8"/>
    </row>
    <row r="34" spans="1:13">
      <c r="A34">
        <v>15</v>
      </c>
      <c r="B34">
        <v>15.9</v>
      </c>
      <c r="C34" s="4">
        <f t="shared" si="0"/>
        <v>3.1446540880503143E-5</v>
      </c>
      <c r="D34">
        <v>13.21</v>
      </c>
      <c r="E34" s="4">
        <f t="shared" si="1"/>
        <v>3.7850113550340651E-5</v>
      </c>
      <c r="F34" s="1">
        <f>SQRT(($C$45/(2*$C$46))^2+(9*$C$51*$C34)/(2*$C$49*$C$47))-($C$45/(2*$C$46))</f>
        <v>4.996686474328523E-7</v>
      </c>
      <c r="G34" s="1">
        <f>(4/3)*PI()*POWER($F34,3)*$C$47</f>
        <v>4.6298682259588844E-16</v>
      </c>
      <c r="H34" s="1">
        <f t="shared" si="2"/>
        <v>1.5087173503320881E-19</v>
      </c>
      <c r="M34" s="8"/>
    </row>
    <row r="35" spans="1:13">
      <c r="A35">
        <v>16</v>
      </c>
      <c r="B35">
        <v>17.309999999999999</v>
      </c>
      <c r="C35" s="4">
        <f t="shared" si="0"/>
        <v>2.8885037550548817E-5</v>
      </c>
      <c r="D35">
        <v>3.28</v>
      </c>
      <c r="E35" s="4">
        <f t="shared" si="1"/>
        <v>1.524390243902439E-4</v>
      </c>
      <c r="F35" s="1">
        <f>SQRT(($C$45/(2*$C$46))^2+(9*$C$51*$C35)/(2*$C$49*$C$47))-($C$45/(2*$C$46))</f>
        <v>4.7712610203432461E-7</v>
      </c>
      <c r="G35" s="1">
        <f>(4/3)*PI()*POWER($F35,3)*$C$47</f>
        <v>4.0310841046391672E-16</v>
      </c>
      <c r="H35" s="1">
        <f t="shared" si="2"/>
        <v>3.7420038398689945E-19</v>
      </c>
      <c r="I35" s="1">
        <f>H35</f>
        <v>3.7420038398689945E-19</v>
      </c>
      <c r="M35" s="8"/>
    </row>
    <row r="36" spans="1:13">
      <c r="A36">
        <v>17</v>
      </c>
      <c r="B36">
        <v>45.02</v>
      </c>
      <c r="C36" s="4">
        <f t="shared" si="0"/>
        <v>1.1106175033318524E-5</v>
      </c>
      <c r="D36">
        <v>2.11</v>
      </c>
      <c r="E36" s="4">
        <f t="shared" si="1"/>
        <v>2.3696682464454977E-4</v>
      </c>
      <c r="F36" s="1">
        <f>SQRT(($C$45/(2*$C$46))^2+(9*$C$51*$C36)/(2*$C$49*$C$47))-($C$45/(2*$C$46))</f>
        <v>2.8028272426401816E-7</v>
      </c>
      <c r="G36" s="1">
        <f>(4/3)*PI()*POWER($F36,3)*$C$47</f>
        <v>8.1716794331053838E-17</v>
      </c>
      <c r="H36" s="1">
        <f t="shared" si="2"/>
        <v>2.6991447299736768E-19</v>
      </c>
      <c r="I36" s="1">
        <f>H36</f>
        <v>2.6991447299736768E-19</v>
      </c>
      <c r="M36" s="8"/>
    </row>
    <row r="37" spans="1:13">
      <c r="A37">
        <v>18</v>
      </c>
      <c r="B37">
        <v>39.46</v>
      </c>
      <c r="C37" s="4">
        <f t="shared" si="0"/>
        <v>1.2671059300557526E-5</v>
      </c>
      <c r="D37">
        <v>4.18</v>
      </c>
      <c r="E37" s="4">
        <f t="shared" si="1"/>
        <v>1.1961722488038279E-4</v>
      </c>
      <c r="F37" s="1">
        <f>SQRT(($C$45/(2*$C$46))^2+(9*$C$51*$C37)/(2*$C$49*$C$47))-($C$45/(2*$C$46))</f>
        <v>3.0210106984378839E-7</v>
      </c>
      <c r="G37" s="1">
        <f>(4/3)*PI()*POWER($F37,3)*$C$47</f>
        <v>1.0232437979059744E-16</v>
      </c>
      <c r="H37" s="1">
        <f t="shared" si="2"/>
        <v>1.5797466666383302E-19</v>
      </c>
      <c r="I37" s="1">
        <f>AVERAGE(H37:H39)</f>
        <v>1.193764551792991E-19</v>
      </c>
      <c r="M37" s="8"/>
    </row>
    <row r="38" spans="1:13">
      <c r="A38">
        <v>18</v>
      </c>
      <c r="B38">
        <v>60.27</v>
      </c>
      <c r="C38" s="4">
        <f t="shared" si="0"/>
        <v>8.2960013273602119E-6</v>
      </c>
      <c r="D38">
        <v>3.96</v>
      </c>
      <c r="E38" s="4">
        <f t="shared" si="1"/>
        <v>1.2626262626262626E-4</v>
      </c>
      <c r="F38" s="1">
        <f>SQRT(($C$45/(2*$C$46))^2+(9*$C$51*$C38)/(2*$C$49*$C$47))-($C$45/(2*$C$46))</f>
        <v>2.3691393962729173E-7</v>
      </c>
      <c r="G38" s="1">
        <f>(4/3)*PI()*POWER($F38,3)*$C$47</f>
        <v>4.9350797494692613E-17</v>
      </c>
      <c r="H38" s="1">
        <f t="shared" si="2"/>
        <v>1.1836867269436014E-19</v>
      </c>
      <c r="M38" s="8"/>
    </row>
    <row r="39" spans="1:13">
      <c r="A39">
        <v>18</v>
      </c>
      <c r="B39">
        <v>99.5</v>
      </c>
      <c r="C39" s="4">
        <f t="shared" si="0"/>
        <v>5.0251256281407038E-6</v>
      </c>
      <c r="D39">
        <v>3.78</v>
      </c>
      <c r="E39" s="4">
        <f t="shared" si="1"/>
        <v>1.3227513227513228E-4</v>
      </c>
      <c r="F39" s="1">
        <f>SQRT(($C$45/(2*$C$46))^2+(9*$C$51*$C39)/(2*$C$49*$C$47))-($C$45/(2*$C$46))</f>
        <v>1.7602627283258264E-7</v>
      </c>
      <c r="G39" s="1">
        <f>(4/3)*PI()*POWER($F39,3)*$C$47</f>
        <v>2.0242064820227454E-17</v>
      </c>
      <c r="H39" s="1">
        <f t="shared" si="2"/>
        <v>8.1786026179704133E-20</v>
      </c>
    </row>
    <row r="41" spans="1:13">
      <c r="B41" s="7" t="s">
        <v>3</v>
      </c>
      <c r="C41">
        <v>5.0000000000000001E-4</v>
      </c>
    </row>
    <row r="42" spans="1:13">
      <c r="B42" s="7"/>
    </row>
    <row r="44" spans="1:13">
      <c r="B44" t="s">
        <v>20</v>
      </c>
      <c r="C44">
        <v>503</v>
      </c>
    </row>
    <row r="45" spans="1:13">
      <c r="B45" s="2" t="s">
        <v>6</v>
      </c>
      <c r="C45" s="3">
        <v>8.2000000000000007E-3</v>
      </c>
    </row>
    <row r="46" spans="1:13">
      <c r="B46" s="2" t="s">
        <v>7</v>
      </c>
      <c r="C46" s="1">
        <f>8.85*10^4</f>
        <v>88500</v>
      </c>
    </row>
    <row r="47" spans="1:13">
      <c r="B47" s="2" t="s">
        <v>8</v>
      </c>
      <c r="C47" s="2">
        <v>886</v>
      </c>
    </row>
    <row r="48" spans="1:13">
      <c r="B48" s="2" t="s">
        <v>9</v>
      </c>
      <c r="C48" s="3">
        <v>7.5900000000000004E-3</v>
      </c>
    </row>
    <row r="49" spans="1:9">
      <c r="B49" s="2" t="s">
        <v>10</v>
      </c>
      <c r="C49" s="3">
        <v>9.8000000000000007</v>
      </c>
    </row>
    <row r="50" spans="1:9">
      <c r="B50" s="2" t="s">
        <v>11</v>
      </c>
      <c r="C50" s="2">
        <f>(C44/C48)</f>
        <v>66271.409749670609</v>
      </c>
    </row>
    <row r="51" spans="1:9">
      <c r="B51" s="7" t="s">
        <v>13</v>
      </c>
      <c r="C51">
        <f>1.816*10^-5</f>
        <v>1.8160000000000002E-5</v>
      </c>
      <c r="E51" s="7" t="s">
        <v>12</v>
      </c>
      <c r="F51" s="6" t="s">
        <v>14</v>
      </c>
      <c r="G51" s="6"/>
      <c r="H51" s="6"/>
      <c r="I51" s="5"/>
    </row>
    <row r="52" spans="1:9">
      <c r="B52" s="7"/>
      <c r="E52" s="7"/>
    </row>
    <row r="54" spans="1:9">
      <c r="E54" s="7" t="s">
        <v>18</v>
      </c>
      <c r="F54" s="6" t="s">
        <v>19</v>
      </c>
      <c r="G54" s="6"/>
      <c r="H54" s="6"/>
    </row>
    <row r="55" spans="1:9">
      <c r="E55" s="7"/>
    </row>
    <row r="56" spans="1:9">
      <c r="B56" s="30" t="s">
        <v>45</v>
      </c>
      <c r="C56" s="31"/>
    </row>
    <row r="57" spans="1:9">
      <c r="A57">
        <v>1</v>
      </c>
      <c r="B57" s="46">
        <v>1.09998746358142</v>
      </c>
      <c r="C57" s="47" t="s">
        <v>30</v>
      </c>
    </row>
    <row r="58" spans="1:9">
      <c r="A58">
        <v>1</v>
      </c>
      <c r="B58" s="48">
        <v>1.25415925530676</v>
      </c>
      <c r="C58" s="49"/>
    </row>
    <row r="59" spans="1:9">
      <c r="A59">
        <v>1</v>
      </c>
      <c r="B59" s="48">
        <v>1.2968417473518301</v>
      </c>
      <c r="C59" s="49"/>
      <c r="D59" s="17"/>
      <c r="E59" s="38" t="s">
        <v>40</v>
      </c>
      <c r="F59" s="37" t="s">
        <v>35</v>
      </c>
    </row>
    <row r="60" spans="1:9">
      <c r="A60">
        <v>1</v>
      </c>
      <c r="B60" s="48">
        <v>1.3413749154988399</v>
      </c>
      <c r="C60" s="49"/>
      <c r="D60" s="44" t="s">
        <v>30</v>
      </c>
      <c r="E60" s="40">
        <f>AVERAGE(B57:B64)</f>
        <v>1.3758800607926713</v>
      </c>
      <c r="F60" s="42">
        <v>1</v>
      </c>
    </row>
    <row r="61" spans="1:9">
      <c r="A61">
        <v>1</v>
      </c>
      <c r="B61" s="48">
        <v>1.42805127304768</v>
      </c>
      <c r="C61" s="49"/>
      <c r="D61" s="18" t="s">
        <v>31</v>
      </c>
      <c r="E61" s="39">
        <f>AVERAGE(B65:B67)</f>
        <v>3.3524801177979633</v>
      </c>
      <c r="F61" s="16">
        <v>2</v>
      </c>
    </row>
    <row r="62" spans="1:9">
      <c r="A62">
        <v>1</v>
      </c>
      <c r="B62" s="48">
        <v>1.4407097653874601</v>
      </c>
      <c r="C62" s="49"/>
      <c r="D62" s="44" t="s">
        <v>32</v>
      </c>
      <c r="E62" s="40">
        <f>AVERAGE(B68:B69)</f>
        <v>4.5617331057561348</v>
      </c>
      <c r="F62" s="42">
        <v>3</v>
      </c>
    </row>
    <row r="63" spans="1:9">
      <c r="A63">
        <v>1</v>
      </c>
      <c r="B63" s="48">
        <v>1.5088061066832399</v>
      </c>
      <c r="C63" s="49"/>
      <c r="D63" s="18" t="s">
        <v>39</v>
      </c>
      <c r="E63" s="39">
        <f>B70</f>
        <v>7.5179783657099</v>
      </c>
      <c r="F63" s="16">
        <v>5</v>
      </c>
    </row>
    <row r="64" spans="1:9">
      <c r="A64">
        <v>1</v>
      </c>
      <c r="B64" s="50">
        <v>1.6371099594841401</v>
      </c>
      <c r="C64" s="51"/>
      <c r="D64" s="45" t="s">
        <v>34</v>
      </c>
      <c r="E64" s="41">
        <f>B71</f>
        <v>9.2554548967949497</v>
      </c>
      <c r="F64" s="43">
        <v>7</v>
      </c>
    </row>
    <row r="65" spans="1:3">
      <c r="A65">
        <v>2</v>
      </c>
      <c r="B65" s="30">
        <v>3.2185642872642499</v>
      </c>
      <c r="C65" s="19" t="s">
        <v>31</v>
      </c>
    </row>
    <row r="66" spans="1:3">
      <c r="A66">
        <v>2</v>
      </c>
      <c r="B66" s="32">
        <v>3.25854214965277</v>
      </c>
      <c r="C66" s="20"/>
    </row>
    <row r="67" spans="1:3">
      <c r="A67">
        <v>2</v>
      </c>
      <c r="B67" s="33">
        <v>3.5803339164768699</v>
      </c>
      <c r="C67" s="34"/>
    </row>
    <row r="68" spans="1:3">
      <c r="A68">
        <v>3</v>
      </c>
      <c r="B68" s="46">
        <v>4.1238037712081201</v>
      </c>
      <c r="C68" s="47" t="s">
        <v>32</v>
      </c>
    </row>
    <row r="69" spans="1:3">
      <c r="A69">
        <v>3</v>
      </c>
      <c r="B69" s="50">
        <v>4.9996624403041503</v>
      </c>
      <c r="C69" s="51"/>
    </row>
    <row r="70" spans="1:3">
      <c r="A70">
        <v>5</v>
      </c>
      <c r="B70" s="35">
        <v>7.5179783657099</v>
      </c>
      <c r="C70" s="36" t="s">
        <v>33</v>
      </c>
    </row>
    <row r="71" spans="1:3">
      <c r="A71">
        <v>7</v>
      </c>
      <c r="B71" s="52">
        <v>9.2554548967949497</v>
      </c>
      <c r="C71" s="53" t="s">
        <v>34</v>
      </c>
    </row>
    <row r="78" spans="1:3">
      <c r="A78" s="21" t="s">
        <v>46</v>
      </c>
      <c r="B78" s="22"/>
      <c r="C78" s="23">
        <f>INDEX(LINEST($B$57:$B$71,$A$57:$A$71,FALSE),1,1)</f>
        <v>1.4363428208373221</v>
      </c>
    </row>
    <row r="79" spans="1:3">
      <c r="A79" s="24"/>
      <c r="B79" s="25"/>
      <c r="C79" s="26"/>
    </row>
    <row r="80" spans="1:3">
      <c r="A80" s="27" t="s">
        <v>47</v>
      </c>
      <c r="B80" s="28"/>
      <c r="C80" s="29">
        <f>INDEX(LINEST($B$57:$B$71,$A$57:$A$71,FALSE,TRUE),2,1)</f>
        <v>3.7900958372336556E-2</v>
      </c>
    </row>
    <row r="81" spans="3:10">
      <c r="C81" s="15"/>
    </row>
    <row r="82" spans="3:10" ht="15.75" thickBot="1"/>
    <row r="83" spans="3:10" ht="15" customHeight="1" thickTop="1">
      <c r="F83" s="54" t="s">
        <v>43</v>
      </c>
      <c r="G83" s="55"/>
      <c r="H83" s="56">
        <f>(1.44-1.602)/1.602</f>
        <v>-0.10112359550561806</v>
      </c>
      <c r="I83" s="55" t="s">
        <v>44</v>
      </c>
      <c r="J83" s="57"/>
    </row>
    <row r="84" spans="3:10" ht="15.75" thickBot="1">
      <c r="F84" s="58"/>
      <c r="G84" s="59"/>
      <c r="H84" s="60"/>
      <c r="I84" s="59"/>
      <c r="J84" s="61"/>
    </row>
    <row r="85" spans="3:10" ht="15.75" thickTop="1"/>
  </sheetData>
  <sortState ref="B57:B71">
    <sortCondition ref="B57"/>
  </sortState>
  <mergeCells count="15">
    <mergeCell ref="A78:B79"/>
    <mergeCell ref="C78:C79"/>
    <mergeCell ref="A80:B80"/>
    <mergeCell ref="C57:C64"/>
    <mergeCell ref="C65:C67"/>
    <mergeCell ref="C68:C69"/>
    <mergeCell ref="F83:G84"/>
    <mergeCell ref="I83:J84"/>
    <mergeCell ref="H83:H84"/>
    <mergeCell ref="E54:E55"/>
    <mergeCell ref="F51:H51"/>
    <mergeCell ref="F54:H54"/>
    <mergeCell ref="B41:B42"/>
    <mergeCell ref="E51:E52"/>
    <mergeCell ref="B51:B52"/>
  </mergeCell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B2:J33"/>
  <sheetViews>
    <sheetView workbookViewId="0">
      <selection activeCell="K8" sqref="K8"/>
    </sheetView>
  </sheetViews>
  <sheetFormatPr defaultRowHeight="15"/>
  <cols>
    <col min="2" max="2" width="9.85546875" bestFit="1" customWidth="1"/>
    <col min="3" max="3" width="11" bestFit="1" customWidth="1"/>
    <col min="7" max="7" width="30.7109375" bestFit="1" customWidth="1"/>
  </cols>
  <sheetData>
    <row r="2" spans="2:10">
      <c r="B2" s="6" t="s">
        <v>21</v>
      </c>
      <c r="C2" s="6"/>
      <c r="D2" s="6"/>
      <c r="G2" s="14" t="s">
        <v>42</v>
      </c>
      <c r="H2" s="14"/>
      <c r="I2" s="14"/>
      <c r="J2" s="14"/>
    </row>
    <row r="3" spans="2:10">
      <c r="B3" t="s">
        <v>22</v>
      </c>
      <c r="C3" t="s">
        <v>23</v>
      </c>
      <c r="G3" s="14"/>
      <c r="H3" s="14"/>
      <c r="I3" s="14"/>
      <c r="J3" s="14"/>
    </row>
    <row r="4" spans="2:10">
      <c r="B4">
        <v>10</v>
      </c>
      <c r="C4">
        <v>3.2389999999999999</v>
      </c>
      <c r="G4" s="14"/>
      <c r="H4" s="14"/>
      <c r="I4" s="14"/>
      <c r="J4" s="14"/>
    </row>
    <row r="5" spans="2:10">
      <c r="B5">
        <f>B4+1</f>
        <v>11</v>
      </c>
      <c r="C5">
        <v>3.1179999999999999</v>
      </c>
      <c r="G5" s="14"/>
      <c r="H5" s="14"/>
      <c r="I5" s="14"/>
      <c r="J5" s="14"/>
    </row>
    <row r="6" spans="2:10">
      <c r="B6">
        <f t="shared" ref="B6:B33" si="0">B5+1</f>
        <v>12</v>
      </c>
      <c r="C6">
        <v>3.004</v>
      </c>
      <c r="G6" s="14"/>
      <c r="H6" s="14"/>
      <c r="I6" s="14"/>
      <c r="J6" s="14"/>
    </row>
    <row r="7" spans="2:10">
      <c r="B7">
        <f t="shared" si="0"/>
        <v>13</v>
      </c>
      <c r="C7">
        <v>2.8969999999999998</v>
      </c>
      <c r="G7" s="14"/>
      <c r="H7" s="14"/>
      <c r="I7" s="14"/>
      <c r="J7" s="14"/>
    </row>
    <row r="8" spans="2:10" ht="15.75">
      <c r="B8">
        <f t="shared" si="0"/>
        <v>14</v>
      </c>
      <c r="C8">
        <v>2.7949999999999999</v>
      </c>
      <c r="F8" s="10"/>
      <c r="G8" s="12" t="s">
        <v>24</v>
      </c>
    </row>
    <row r="9" spans="2:10">
      <c r="B9">
        <f t="shared" si="0"/>
        <v>15</v>
      </c>
      <c r="C9">
        <v>2.7</v>
      </c>
      <c r="F9" s="10"/>
      <c r="G9" s="10" t="s">
        <v>25</v>
      </c>
    </row>
    <row r="10" spans="2:10">
      <c r="B10">
        <f t="shared" si="0"/>
        <v>16</v>
      </c>
      <c r="C10">
        <v>2.61</v>
      </c>
      <c r="F10" s="10" t="s">
        <v>36</v>
      </c>
      <c r="G10" s="10">
        <f>7.5*(2.387)^2-51*(2.387)+97.4</f>
        <v>18.396267500000022</v>
      </c>
    </row>
    <row r="11" spans="2:10">
      <c r="B11">
        <f t="shared" si="0"/>
        <v>17</v>
      </c>
      <c r="C11">
        <v>2.5259999999999998</v>
      </c>
    </row>
    <row r="12" spans="2:10">
      <c r="B12">
        <f t="shared" si="0"/>
        <v>18</v>
      </c>
      <c r="C12">
        <v>2.4460000000000002</v>
      </c>
    </row>
    <row r="13" spans="2:10">
      <c r="B13">
        <f t="shared" si="0"/>
        <v>19</v>
      </c>
      <c r="C13">
        <v>2.371</v>
      </c>
    </row>
    <row r="14" spans="2:10">
      <c r="B14">
        <f t="shared" si="0"/>
        <v>20</v>
      </c>
      <c r="C14">
        <v>2.2999999999999998</v>
      </c>
    </row>
    <row r="15" spans="2:10">
      <c r="B15">
        <f t="shared" si="0"/>
        <v>21</v>
      </c>
      <c r="C15">
        <v>2.2330000000000001</v>
      </c>
    </row>
    <row r="16" spans="2:10">
      <c r="B16">
        <f t="shared" si="0"/>
        <v>22</v>
      </c>
      <c r="C16">
        <v>2.169</v>
      </c>
    </row>
    <row r="17" spans="2:3">
      <c r="B17">
        <f t="shared" si="0"/>
        <v>23</v>
      </c>
      <c r="C17">
        <v>2.11</v>
      </c>
    </row>
    <row r="18" spans="2:3">
      <c r="B18">
        <f t="shared" si="0"/>
        <v>24</v>
      </c>
      <c r="C18">
        <v>2.0529999999999999</v>
      </c>
    </row>
    <row r="19" spans="2:3">
      <c r="B19">
        <f t="shared" si="0"/>
        <v>25</v>
      </c>
      <c r="C19">
        <v>2</v>
      </c>
    </row>
    <row r="20" spans="2:3">
      <c r="B20">
        <f t="shared" si="0"/>
        <v>26</v>
      </c>
      <c r="C20">
        <v>1.95</v>
      </c>
    </row>
    <row r="21" spans="2:3">
      <c r="B21">
        <f t="shared" si="0"/>
        <v>27</v>
      </c>
      <c r="C21">
        <v>1.9019999999999999</v>
      </c>
    </row>
    <row r="22" spans="2:3">
      <c r="B22">
        <f t="shared" si="0"/>
        <v>28</v>
      </c>
      <c r="C22">
        <v>1.857</v>
      </c>
    </row>
    <row r="23" spans="2:3">
      <c r="B23">
        <f t="shared" si="0"/>
        <v>29</v>
      </c>
      <c r="C23">
        <v>1.8149999999999999</v>
      </c>
    </row>
    <row r="24" spans="2:3">
      <c r="B24">
        <f t="shared" si="0"/>
        <v>30</v>
      </c>
      <c r="C24">
        <v>1.774</v>
      </c>
    </row>
    <row r="25" spans="2:3">
      <c r="B25">
        <f t="shared" si="0"/>
        <v>31</v>
      </c>
      <c r="C25">
        <v>1.736</v>
      </c>
    </row>
    <row r="26" spans="2:3">
      <c r="B26">
        <f t="shared" si="0"/>
        <v>32</v>
      </c>
      <c r="C26">
        <v>1.7</v>
      </c>
    </row>
    <row r="27" spans="2:3">
      <c r="B27">
        <f t="shared" si="0"/>
        <v>33</v>
      </c>
      <c r="C27">
        <v>1.6659999999999999</v>
      </c>
    </row>
    <row r="28" spans="2:3">
      <c r="B28">
        <f t="shared" si="0"/>
        <v>34</v>
      </c>
      <c r="C28">
        <v>1.6339999999999999</v>
      </c>
    </row>
    <row r="29" spans="2:3">
      <c r="B29">
        <f t="shared" si="0"/>
        <v>35</v>
      </c>
      <c r="C29">
        <v>1.603</v>
      </c>
    </row>
    <row r="30" spans="2:3">
      <c r="B30">
        <f t="shared" si="0"/>
        <v>36</v>
      </c>
      <c r="C30">
        <v>1.5740000000000001</v>
      </c>
    </row>
    <row r="31" spans="2:3">
      <c r="B31">
        <f t="shared" si="0"/>
        <v>37</v>
      </c>
      <c r="C31">
        <v>1.5469999999999999</v>
      </c>
    </row>
    <row r="32" spans="2:3">
      <c r="B32">
        <f t="shared" si="0"/>
        <v>38</v>
      </c>
      <c r="C32">
        <v>1.5209999999999999</v>
      </c>
    </row>
    <row r="33" spans="2:3">
      <c r="B33">
        <f t="shared" si="0"/>
        <v>39</v>
      </c>
      <c r="C33">
        <v>1.496</v>
      </c>
    </row>
  </sheetData>
  <mergeCells count="2">
    <mergeCell ref="B2:D2"/>
    <mergeCell ref="G2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J6" sqref="J6"/>
    </sheetView>
  </sheetViews>
  <sheetFormatPr defaultRowHeight="15"/>
  <cols>
    <col min="1" max="1" width="12.5703125" bestFit="1" customWidth="1"/>
    <col min="2" max="2" width="12" bestFit="1" customWidth="1"/>
    <col min="3" max="3" width="13.28515625" bestFit="1" customWidth="1"/>
  </cols>
  <sheetData>
    <row r="1" spans="1:8" ht="15" customHeight="1">
      <c r="A1" s="6" t="s">
        <v>26</v>
      </c>
      <c r="B1" s="6"/>
      <c r="D1" s="14" t="s">
        <v>41</v>
      </c>
      <c r="E1" s="14"/>
      <c r="F1" s="14"/>
      <c r="G1" s="14"/>
      <c r="H1" s="14"/>
    </row>
    <row r="2" spans="1:8">
      <c r="A2" t="s">
        <v>27</v>
      </c>
      <c r="B2" t="s">
        <v>28</v>
      </c>
      <c r="D2" s="14"/>
      <c r="E2" s="14"/>
      <c r="F2" s="14"/>
      <c r="G2" s="14"/>
      <c r="H2" s="14"/>
    </row>
    <row r="3" spans="1:8">
      <c r="A3">
        <v>14.966100000000001</v>
      </c>
      <c r="B3" s="1">
        <v>1.8003E-5</v>
      </c>
      <c r="D3" s="14"/>
      <c r="E3" s="14"/>
      <c r="F3" s="14"/>
      <c r="G3" s="14"/>
      <c r="H3" s="14"/>
    </row>
    <row r="4" spans="1:8">
      <c r="A4">
        <v>19.037400000000002</v>
      </c>
      <c r="B4" s="1">
        <v>1.8195299999999998E-5</v>
      </c>
      <c r="D4" s="14"/>
      <c r="E4" s="14"/>
      <c r="F4" s="14"/>
      <c r="G4" s="14"/>
      <c r="H4" s="14"/>
    </row>
    <row r="5" spans="1:8">
      <c r="A5">
        <v>22.323</v>
      </c>
      <c r="B5" s="1">
        <v>1.8351599999999999E-5</v>
      </c>
      <c r="D5" s="14"/>
      <c r="E5" s="14"/>
      <c r="F5" s="14"/>
      <c r="G5" s="14"/>
      <c r="H5" s="14"/>
    </row>
    <row r="6" spans="1:8">
      <c r="A6">
        <v>26.965699999999998</v>
      </c>
      <c r="B6" s="1">
        <v>1.8570999999999999E-5</v>
      </c>
      <c r="D6" s="14"/>
      <c r="E6" s="14"/>
      <c r="F6" s="14"/>
      <c r="G6" s="14"/>
      <c r="H6" s="14"/>
    </row>
    <row r="7" spans="1:8">
      <c r="A7">
        <v>31.965599999999998</v>
      </c>
      <c r="B7" s="1">
        <v>1.8808400000000001E-5</v>
      </c>
      <c r="D7" s="14"/>
      <c r="E7" s="14"/>
      <c r="F7" s="14"/>
      <c r="G7" s="14"/>
      <c r="H7" s="14"/>
    </row>
    <row r="8" spans="1:8">
      <c r="D8" s="14"/>
      <c r="E8" s="14"/>
      <c r="F8" s="14"/>
      <c r="G8" s="14"/>
      <c r="H8" s="14"/>
    </row>
    <row r="11" spans="1:8">
      <c r="B11" s="10"/>
      <c r="C11" s="10" t="s">
        <v>37</v>
      </c>
    </row>
    <row r="12" spans="1:8">
      <c r="B12" s="10" t="s">
        <v>38</v>
      </c>
      <c r="C12" s="11">
        <f xml:space="preserve"> 0.00000004738*18.4 + 0.00001729</f>
        <v>1.8161791999999998E-5</v>
      </c>
    </row>
  </sheetData>
  <mergeCells count="2">
    <mergeCell ref="A1:B1"/>
    <mergeCell ref="D1:H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 Sheet</vt:lpstr>
      <vt:lpstr>Thermistor Temps</vt:lpstr>
      <vt:lpstr>Viscosity</vt:lpstr>
      <vt:lpstr>Viscosity!viscosity_of_air_vs_temp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</cp:lastModifiedBy>
  <dcterms:created xsi:type="dcterms:W3CDTF">2007-11-12T23:53:54Z</dcterms:created>
  <dcterms:modified xsi:type="dcterms:W3CDTF">2007-11-13T04:51:18Z</dcterms:modified>
</cp:coreProperties>
</file>