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showInkAnnotation="0" autoCompressPictures="0"/>
  <bookViews>
    <workbookView xWindow="0" yWindow="0" windowWidth="25520" windowHeight="15560" tabRatio="500"/>
  </bookViews>
  <sheets>
    <sheet name="Carbonate_Sulfide_Speciation" sheetId="1" r:id="rId1"/>
  </sheets>
  <definedNames>
    <definedName name="solver_adj" localSheetId="0" hidden="1">Carbonate_Sulfide_Speciation!$E$34</definedName>
    <definedName name="solver_cvg" localSheetId="0" hidden="1">0.0001</definedName>
    <definedName name="solver_drv" localSheetId="0" hidden="1">1</definedName>
    <definedName name="solver_eng" localSheetId="0" hidden="1">1</definedName>
    <definedName name="solver_itr" localSheetId="0" hidden="1">2147483647</definedName>
    <definedName name="solver_lhs1" localSheetId="0" hidden="1">Carbonate_Sulfide_Speciation!$E$34</definedName>
    <definedName name="solver_lhs2" localSheetId="0" hidden="1">Carbonate_Sulfide_Speciation!$B$32</definedName>
    <definedName name="solver_lin" localSheetId="0" hidden="1">2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1</definedName>
    <definedName name="solver_opt" localSheetId="0" hidden="1">Carbonate_Sulfide_Speciation!$R$34</definedName>
    <definedName name="solver_pre" localSheetId="0" hidden="1">0.000001</definedName>
    <definedName name="solver_rbv" localSheetId="0" hidden="1">1</definedName>
    <definedName name="solver_rel1" localSheetId="0" hidden="1">3</definedName>
    <definedName name="solver_rel2" localSheetId="0" hidden="1">3</definedName>
    <definedName name="solver_rhs1" localSheetId="0" hidden="1">0</definedName>
    <definedName name="solver_rhs2" localSheetId="0" hidden="1">1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3</definedName>
    <definedName name="solver_val" localSheetId="0" hidden="1">0</definedName>
    <definedName name="solver_ver" localSheetId="0" hidden="1">2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4" i="1" l="1"/>
  <c r="D4" i="1"/>
  <c r="E4" i="1"/>
  <c r="F36" i="1"/>
  <c r="F37" i="1"/>
  <c r="F4" i="1"/>
  <c r="B36" i="1"/>
  <c r="S36" i="1"/>
  <c r="G4" i="1"/>
  <c r="H4" i="1"/>
  <c r="I4" i="1"/>
  <c r="J4" i="1"/>
  <c r="K4" i="1"/>
  <c r="B42" i="1"/>
  <c r="B43" i="1"/>
  <c r="M4" i="1"/>
  <c r="M36" i="1"/>
  <c r="N4" i="1"/>
  <c r="O4" i="1"/>
  <c r="M37" i="1"/>
  <c r="P4" i="1"/>
  <c r="Q4" i="1"/>
  <c r="R4" i="1"/>
  <c r="S4" i="1"/>
  <c r="T4" i="1"/>
  <c r="C5" i="1"/>
  <c r="D5" i="1"/>
  <c r="E5" i="1"/>
  <c r="F5" i="1"/>
  <c r="G5" i="1"/>
  <c r="H5" i="1"/>
  <c r="I5" i="1"/>
  <c r="J5" i="1"/>
  <c r="K5" i="1"/>
  <c r="M5" i="1"/>
  <c r="N5" i="1"/>
  <c r="O5" i="1"/>
  <c r="P5" i="1"/>
  <c r="Q5" i="1"/>
  <c r="R5" i="1"/>
  <c r="S5" i="1"/>
  <c r="T5" i="1"/>
  <c r="C6" i="1"/>
  <c r="D6" i="1"/>
  <c r="E6" i="1"/>
  <c r="F6" i="1"/>
  <c r="G6" i="1"/>
  <c r="H6" i="1"/>
  <c r="I6" i="1"/>
  <c r="J6" i="1"/>
  <c r="K6" i="1"/>
  <c r="M6" i="1"/>
  <c r="N6" i="1"/>
  <c r="O6" i="1"/>
  <c r="P6" i="1"/>
  <c r="Q6" i="1"/>
  <c r="R6" i="1"/>
  <c r="S6" i="1"/>
  <c r="T6" i="1"/>
  <c r="C7" i="1"/>
  <c r="D7" i="1"/>
  <c r="E7" i="1"/>
  <c r="F7" i="1"/>
  <c r="G7" i="1"/>
  <c r="H7" i="1"/>
  <c r="I7" i="1"/>
  <c r="J7" i="1"/>
  <c r="K7" i="1"/>
  <c r="M7" i="1"/>
  <c r="N7" i="1"/>
  <c r="O7" i="1"/>
  <c r="P7" i="1"/>
  <c r="Q7" i="1"/>
  <c r="R7" i="1"/>
  <c r="S7" i="1"/>
  <c r="T7" i="1"/>
  <c r="C8" i="1"/>
  <c r="D8" i="1"/>
  <c r="E8" i="1"/>
  <c r="F8" i="1"/>
  <c r="G8" i="1"/>
  <c r="H8" i="1"/>
  <c r="I8" i="1"/>
  <c r="J8" i="1"/>
  <c r="K8" i="1"/>
  <c r="M8" i="1"/>
  <c r="N8" i="1"/>
  <c r="O8" i="1"/>
  <c r="P8" i="1"/>
  <c r="Q8" i="1"/>
  <c r="R8" i="1"/>
  <c r="S8" i="1"/>
  <c r="T8" i="1"/>
  <c r="C9" i="1"/>
  <c r="D9" i="1"/>
  <c r="E9" i="1"/>
  <c r="F9" i="1"/>
  <c r="G9" i="1"/>
  <c r="H9" i="1"/>
  <c r="I9" i="1"/>
  <c r="J9" i="1"/>
  <c r="K9" i="1"/>
  <c r="M9" i="1"/>
  <c r="N9" i="1"/>
  <c r="O9" i="1"/>
  <c r="P9" i="1"/>
  <c r="Q9" i="1"/>
  <c r="R9" i="1"/>
  <c r="S9" i="1"/>
  <c r="T9" i="1"/>
  <c r="C10" i="1"/>
  <c r="D10" i="1"/>
  <c r="E10" i="1"/>
  <c r="F10" i="1"/>
  <c r="G10" i="1"/>
  <c r="H10" i="1"/>
  <c r="I10" i="1"/>
  <c r="J10" i="1"/>
  <c r="K10" i="1"/>
  <c r="M10" i="1"/>
  <c r="N10" i="1"/>
  <c r="O10" i="1"/>
  <c r="P10" i="1"/>
  <c r="Q10" i="1"/>
  <c r="R10" i="1"/>
  <c r="S10" i="1"/>
  <c r="T10" i="1"/>
  <c r="C11" i="1"/>
  <c r="D11" i="1"/>
  <c r="E11" i="1"/>
  <c r="F11" i="1"/>
  <c r="G11" i="1"/>
  <c r="H11" i="1"/>
  <c r="I11" i="1"/>
  <c r="J11" i="1"/>
  <c r="K11" i="1"/>
  <c r="M11" i="1"/>
  <c r="N11" i="1"/>
  <c r="O11" i="1"/>
  <c r="P11" i="1"/>
  <c r="Q11" i="1"/>
  <c r="R11" i="1"/>
  <c r="S11" i="1"/>
  <c r="T11" i="1"/>
  <c r="C12" i="1"/>
  <c r="D12" i="1"/>
  <c r="E12" i="1"/>
  <c r="F12" i="1"/>
  <c r="G12" i="1"/>
  <c r="H12" i="1"/>
  <c r="I12" i="1"/>
  <c r="J12" i="1"/>
  <c r="K12" i="1"/>
  <c r="M12" i="1"/>
  <c r="N12" i="1"/>
  <c r="O12" i="1"/>
  <c r="P12" i="1"/>
  <c r="Q12" i="1"/>
  <c r="R12" i="1"/>
  <c r="S12" i="1"/>
  <c r="T12" i="1"/>
  <c r="C13" i="1"/>
  <c r="D13" i="1"/>
  <c r="E13" i="1"/>
  <c r="F13" i="1"/>
  <c r="G13" i="1"/>
  <c r="H13" i="1"/>
  <c r="I13" i="1"/>
  <c r="J13" i="1"/>
  <c r="K13" i="1"/>
  <c r="M13" i="1"/>
  <c r="N13" i="1"/>
  <c r="O13" i="1"/>
  <c r="P13" i="1"/>
  <c r="Q13" i="1"/>
  <c r="R13" i="1"/>
  <c r="S13" i="1"/>
  <c r="T13" i="1"/>
  <c r="C14" i="1"/>
  <c r="D14" i="1"/>
  <c r="E14" i="1"/>
  <c r="F14" i="1"/>
  <c r="G14" i="1"/>
  <c r="H14" i="1"/>
  <c r="I14" i="1"/>
  <c r="J14" i="1"/>
  <c r="K14" i="1"/>
  <c r="M14" i="1"/>
  <c r="N14" i="1"/>
  <c r="O14" i="1"/>
  <c r="P14" i="1"/>
  <c r="Q14" i="1"/>
  <c r="R14" i="1"/>
  <c r="S14" i="1"/>
  <c r="T14" i="1"/>
  <c r="C15" i="1"/>
  <c r="D15" i="1"/>
  <c r="E15" i="1"/>
  <c r="F15" i="1"/>
  <c r="G15" i="1"/>
  <c r="H15" i="1"/>
  <c r="I15" i="1"/>
  <c r="J15" i="1"/>
  <c r="K15" i="1"/>
  <c r="M15" i="1"/>
  <c r="N15" i="1"/>
  <c r="O15" i="1"/>
  <c r="P15" i="1"/>
  <c r="Q15" i="1"/>
  <c r="R15" i="1"/>
  <c r="S15" i="1"/>
  <c r="T15" i="1"/>
  <c r="C16" i="1"/>
  <c r="D16" i="1"/>
  <c r="E16" i="1"/>
  <c r="F16" i="1"/>
  <c r="G16" i="1"/>
  <c r="H16" i="1"/>
  <c r="I16" i="1"/>
  <c r="J16" i="1"/>
  <c r="K16" i="1"/>
  <c r="M16" i="1"/>
  <c r="N16" i="1"/>
  <c r="O16" i="1"/>
  <c r="P16" i="1"/>
  <c r="Q16" i="1"/>
  <c r="R16" i="1"/>
  <c r="S16" i="1"/>
  <c r="T16" i="1"/>
  <c r="C17" i="1"/>
  <c r="D17" i="1"/>
  <c r="E17" i="1"/>
  <c r="F17" i="1"/>
  <c r="G17" i="1"/>
  <c r="H17" i="1"/>
  <c r="I17" i="1"/>
  <c r="J17" i="1"/>
  <c r="K17" i="1"/>
  <c r="M17" i="1"/>
  <c r="N17" i="1"/>
  <c r="O17" i="1"/>
  <c r="P17" i="1"/>
  <c r="Q17" i="1"/>
  <c r="R17" i="1"/>
  <c r="S17" i="1"/>
  <c r="T17" i="1"/>
  <c r="C18" i="1"/>
  <c r="D18" i="1"/>
  <c r="E18" i="1"/>
  <c r="F18" i="1"/>
  <c r="G18" i="1"/>
  <c r="H18" i="1"/>
  <c r="I18" i="1"/>
  <c r="J18" i="1"/>
  <c r="K18" i="1"/>
  <c r="M18" i="1"/>
  <c r="N18" i="1"/>
  <c r="O18" i="1"/>
  <c r="P18" i="1"/>
  <c r="Q18" i="1"/>
  <c r="R18" i="1"/>
  <c r="S18" i="1"/>
  <c r="T18" i="1"/>
  <c r="B19" i="1"/>
  <c r="C19" i="1"/>
  <c r="D19" i="1"/>
  <c r="E19" i="1"/>
  <c r="F19" i="1"/>
  <c r="G19" i="1"/>
  <c r="H19" i="1"/>
  <c r="I19" i="1"/>
  <c r="J19" i="1"/>
  <c r="K19" i="1"/>
  <c r="M19" i="1"/>
  <c r="N19" i="1"/>
  <c r="O19" i="1"/>
  <c r="P19" i="1"/>
  <c r="Q19" i="1"/>
  <c r="R19" i="1"/>
  <c r="S19" i="1"/>
  <c r="T19" i="1"/>
  <c r="B20" i="1"/>
  <c r="C20" i="1"/>
  <c r="D20" i="1"/>
  <c r="E20" i="1"/>
  <c r="F20" i="1"/>
  <c r="G20" i="1"/>
  <c r="H20" i="1"/>
  <c r="I20" i="1"/>
  <c r="J20" i="1"/>
  <c r="K20" i="1"/>
  <c r="M20" i="1"/>
  <c r="N20" i="1"/>
  <c r="O20" i="1"/>
  <c r="P20" i="1"/>
  <c r="Q20" i="1"/>
  <c r="R20" i="1"/>
  <c r="S20" i="1"/>
  <c r="T20" i="1"/>
  <c r="B21" i="1"/>
  <c r="C21" i="1"/>
  <c r="D21" i="1"/>
  <c r="E21" i="1"/>
  <c r="F21" i="1"/>
  <c r="G21" i="1"/>
  <c r="H21" i="1"/>
  <c r="I21" i="1"/>
  <c r="J21" i="1"/>
  <c r="K21" i="1"/>
  <c r="M21" i="1"/>
  <c r="N21" i="1"/>
  <c r="O21" i="1"/>
  <c r="P21" i="1"/>
  <c r="Q21" i="1"/>
  <c r="R21" i="1"/>
  <c r="S21" i="1"/>
  <c r="T21" i="1"/>
  <c r="B22" i="1"/>
  <c r="C22" i="1"/>
  <c r="D22" i="1"/>
  <c r="E22" i="1"/>
  <c r="F22" i="1"/>
  <c r="G22" i="1"/>
  <c r="H22" i="1"/>
  <c r="I22" i="1"/>
  <c r="J22" i="1"/>
  <c r="K22" i="1"/>
  <c r="M22" i="1"/>
  <c r="N22" i="1"/>
  <c r="O22" i="1"/>
  <c r="P22" i="1"/>
  <c r="Q22" i="1"/>
  <c r="R22" i="1"/>
  <c r="S22" i="1"/>
  <c r="T22" i="1"/>
  <c r="B23" i="1"/>
  <c r="C23" i="1"/>
  <c r="D23" i="1"/>
  <c r="E23" i="1"/>
  <c r="F23" i="1"/>
  <c r="G23" i="1"/>
  <c r="H23" i="1"/>
  <c r="I23" i="1"/>
  <c r="J23" i="1"/>
  <c r="K23" i="1"/>
  <c r="M23" i="1"/>
  <c r="N23" i="1"/>
  <c r="O23" i="1"/>
  <c r="P23" i="1"/>
  <c r="Q23" i="1"/>
  <c r="R23" i="1"/>
  <c r="S23" i="1"/>
  <c r="T23" i="1"/>
  <c r="B24" i="1"/>
  <c r="C24" i="1"/>
  <c r="D24" i="1"/>
  <c r="E24" i="1"/>
  <c r="F24" i="1"/>
  <c r="G24" i="1"/>
  <c r="H24" i="1"/>
  <c r="I24" i="1"/>
  <c r="J24" i="1"/>
  <c r="K24" i="1"/>
  <c r="M24" i="1"/>
  <c r="N24" i="1"/>
  <c r="O24" i="1"/>
  <c r="P24" i="1"/>
  <c r="Q24" i="1"/>
  <c r="R24" i="1"/>
  <c r="S24" i="1"/>
  <c r="T24" i="1"/>
  <c r="B25" i="1"/>
  <c r="C25" i="1"/>
  <c r="D25" i="1"/>
  <c r="E25" i="1"/>
  <c r="F25" i="1"/>
  <c r="G25" i="1"/>
  <c r="H25" i="1"/>
  <c r="I25" i="1"/>
  <c r="J25" i="1"/>
  <c r="K25" i="1"/>
  <c r="M25" i="1"/>
  <c r="N25" i="1"/>
  <c r="O25" i="1"/>
  <c r="P25" i="1"/>
  <c r="Q25" i="1"/>
  <c r="R25" i="1"/>
  <c r="S25" i="1"/>
  <c r="T25" i="1"/>
  <c r="B26" i="1"/>
  <c r="C26" i="1"/>
  <c r="D26" i="1"/>
  <c r="E26" i="1"/>
  <c r="F26" i="1"/>
  <c r="G26" i="1"/>
  <c r="H26" i="1"/>
  <c r="I26" i="1"/>
  <c r="J26" i="1"/>
  <c r="K26" i="1"/>
  <c r="M26" i="1"/>
  <c r="N26" i="1"/>
  <c r="O26" i="1"/>
  <c r="P26" i="1"/>
  <c r="Q26" i="1"/>
  <c r="R26" i="1"/>
  <c r="S26" i="1"/>
  <c r="T26" i="1"/>
  <c r="B27" i="1"/>
  <c r="C27" i="1"/>
  <c r="D27" i="1"/>
  <c r="E27" i="1"/>
  <c r="F27" i="1"/>
  <c r="G27" i="1"/>
  <c r="H27" i="1"/>
  <c r="I27" i="1"/>
  <c r="J27" i="1"/>
  <c r="K27" i="1"/>
  <c r="M27" i="1"/>
  <c r="N27" i="1"/>
  <c r="O27" i="1"/>
  <c r="P27" i="1"/>
  <c r="Q27" i="1"/>
  <c r="R27" i="1"/>
  <c r="S27" i="1"/>
  <c r="T27" i="1"/>
  <c r="B28" i="1"/>
  <c r="C28" i="1"/>
  <c r="D28" i="1"/>
  <c r="E28" i="1"/>
  <c r="F28" i="1"/>
  <c r="G28" i="1"/>
  <c r="H28" i="1"/>
  <c r="I28" i="1"/>
  <c r="J28" i="1"/>
  <c r="K28" i="1"/>
  <c r="M28" i="1"/>
  <c r="N28" i="1"/>
  <c r="O28" i="1"/>
  <c r="P28" i="1"/>
  <c r="Q28" i="1"/>
  <c r="R28" i="1"/>
  <c r="S28" i="1"/>
  <c r="T28" i="1"/>
  <c r="C32" i="1"/>
  <c r="D32" i="1"/>
  <c r="E32" i="1"/>
  <c r="F32" i="1"/>
  <c r="G32" i="1"/>
  <c r="H32" i="1"/>
  <c r="I32" i="1"/>
  <c r="J32" i="1"/>
  <c r="K32" i="1"/>
  <c r="M32" i="1"/>
  <c r="N32" i="1"/>
  <c r="O32" i="1"/>
  <c r="P32" i="1"/>
  <c r="Q32" i="1"/>
  <c r="R32" i="1"/>
  <c r="S32" i="1"/>
  <c r="T32" i="1"/>
  <c r="C34" i="1"/>
  <c r="D34" i="1"/>
  <c r="F34" i="1"/>
  <c r="G34" i="1"/>
  <c r="H34" i="1"/>
  <c r="I34" i="1"/>
  <c r="J34" i="1"/>
  <c r="K34" i="1"/>
  <c r="M34" i="1"/>
  <c r="N34" i="1"/>
  <c r="O34" i="1"/>
  <c r="P34" i="1"/>
  <c r="Q34" i="1"/>
  <c r="R34" i="1"/>
  <c r="S34" i="1"/>
  <c r="T34" i="1"/>
</calcChain>
</file>

<file path=xl/sharedStrings.xml><?xml version="1.0" encoding="utf-8"?>
<sst xmlns="http://schemas.openxmlformats.org/spreadsheetml/2006/main" count="120" uniqueCount="61">
  <si>
    <t>http://www.ocean.washington.edu/courses/oc400/Lecture_Notes/CHPT12.pdf</t>
  </si>
  <si>
    <t>alpha_3</t>
  </si>
  <si>
    <t>K1K2)</t>
  </si>
  <si>
    <t>+</t>
  </si>
  <si>
    <t>K1</t>
  </si>
  <si>
    <t>H</t>
  </si>
  <si>
    <t>H2</t>
  </si>
  <si>
    <t>(</t>
  </si>
  <si>
    <t>/</t>
  </si>
  <si>
    <t>K1K2</t>
  </si>
  <si>
    <t>=</t>
  </si>
  <si>
    <t>α2</t>
  </si>
  <si>
    <t>alpha_2</t>
  </si>
  <si>
    <t>Molar C02_aq</t>
  </si>
  <si>
    <t>(H2+</t>
  </si>
  <si>
    <t>HK1</t>
  </si>
  <si>
    <t>α1</t>
  </si>
  <si>
    <t>alpha_1</t>
  </si>
  <si>
    <t>mol/ L *atm</t>
  </si>
  <si>
    <t>Henry's CO2 @ 25C</t>
  </si>
  <si>
    <t>a0</t>
  </si>
  <si>
    <t>alpha_0</t>
  </si>
  <si>
    <t>10% / 90%</t>
  </si>
  <si>
    <t>atm</t>
  </si>
  <si>
    <t>CO2 Part. Pres.</t>
  </si>
  <si>
    <t>Alpha Notation</t>
  </si>
  <si>
    <t>Gas Constants</t>
  </si>
  <si>
    <t>TOTAL_C</t>
  </si>
  <si>
    <t>Molar</t>
  </si>
  <si>
    <t>TOTAL_NA</t>
  </si>
  <si>
    <t>K_a_HC03-</t>
  </si>
  <si>
    <t>Ka2</t>
  </si>
  <si>
    <t>K_a_HS-</t>
  </si>
  <si>
    <t>TOTAL_S</t>
  </si>
  <si>
    <t>K_a_H2CO3-</t>
  </si>
  <si>
    <t>Ka1</t>
  </si>
  <si>
    <t>K_a_H2S</t>
  </si>
  <si>
    <t>NaS--</t>
  </si>
  <si>
    <t>Added</t>
  </si>
  <si>
    <t>Mass Balance Totals</t>
  </si>
  <si>
    <t>Equilibrium Relations</t>
  </si>
  <si>
    <t>CHEMICAL ADDITIONS</t>
  </si>
  <si>
    <t>LHS</t>
  </si>
  <si>
    <t>RHS</t>
  </si>
  <si>
    <t>Net Charge</t>
  </si>
  <si>
    <t>CO3--</t>
  </si>
  <si>
    <t>Ka1Ka2/{H+}^2</t>
  </si>
  <si>
    <t>HCO3-</t>
  </si>
  <si>
    <t>Ka1/{H+}</t>
  </si>
  <si>
    <t>H2CO3</t>
  </si>
  <si>
    <t>{S--}</t>
  </si>
  <si>
    <t>{HS-}</t>
  </si>
  <si>
    <t>{H2S}</t>
  </si>
  <si>
    <t>{Na+}</t>
  </si>
  <si>
    <t>{0H-}</t>
  </si>
  <si>
    <t>{H+}</t>
  </si>
  <si>
    <t>pH</t>
  </si>
  <si>
    <t xml:space="preserve">NaOH Addition </t>
  </si>
  <si>
    <t>Excel Solver Approach Contraining pH between 0 and 14 minimizing net charge</t>
  </si>
  <si>
    <r>
      <t xml:space="preserve">(adapted from page 178 of Mark Benjamin, </t>
    </r>
    <r>
      <rPr>
        <i/>
        <u/>
        <sz val="12"/>
        <color theme="1"/>
        <rFont val="Calibri"/>
        <scheme val="minor"/>
      </rPr>
      <t>Water Chemistry</t>
    </r>
    <r>
      <rPr>
        <i/>
        <sz val="12"/>
        <color theme="1"/>
        <rFont val="Calibri"/>
        <scheme val="minor"/>
      </rPr>
      <t>)</t>
    </r>
  </si>
  <si>
    <t>Master Variable Numerical Solution of Resultant pH and Speciation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</si>
</sst>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E+00"/>
    <numFmt numFmtId="165" formatCode="0.00E+00;\_x0000_"/>
    <numFmt numFmtId="166" formatCode="0.0"/>
  </numFmts>
  <fonts count="8" x14ac:knownFonts="1">
    <font>
      <sz val="12"/>
      <color theme="1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scheme val="minor"/>
    </font>
    <font>
      <sz val="12"/>
      <color theme="0" tint="-0.14999847407452621"/>
      <name val="Calibri"/>
      <scheme val="minor"/>
    </font>
    <font>
      <i/>
      <sz val="12"/>
      <color theme="1"/>
      <name val="Calibri"/>
      <scheme val="minor"/>
    </font>
    <font>
      <i/>
      <u/>
      <sz val="12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rgb="FF7F7F7F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7F7F7F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35">
    <xf numFmtId="0" fontId="0" fillId="0" borderId="0" xfId="0"/>
    <xf numFmtId="0" fontId="3" fillId="0" borderId="3" xfId="0" applyFont="1" applyBorder="1" applyAlignment="1">
      <alignment horizontal="center"/>
    </xf>
    <xf numFmtId="11" fontId="0" fillId="0" borderId="3" xfId="0" applyNumberFormat="1" applyFont="1" applyBorder="1" applyAlignment="1">
      <alignment horizontal="center"/>
    </xf>
    <xf numFmtId="0" fontId="0" fillId="0" borderId="0" xfId="0" quotePrefix="1"/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11" fontId="0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0" fillId="0" borderId="3" xfId="0" applyBorder="1"/>
    <xf numFmtId="11" fontId="0" fillId="0" borderId="3" xfId="0" applyNumberFormat="1" applyBorder="1"/>
    <xf numFmtId="164" fontId="2" fillId="3" borderId="2" xfId="2" applyNumberFormat="1" applyAlignment="1">
      <alignment horizontal="center"/>
    </xf>
    <xf numFmtId="165" fontId="0" fillId="0" borderId="4" xfId="0" applyNumberFormat="1" applyBorder="1"/>
    <xf numFmtId="0" fontId="0" fillId="0" borderId="4" xfId="0" applyBorder="1"/>
    <xf numFmtId="11" fontId="0" fillId="0" borderId="4" xfId="0" applyNumberFormat="1" applyBorder="1"/>
    <xf numFmtId="164" fontId="0" fillId="0" borderId="4" xfId="0" applyNumberFormat="1" applyBorder="1" applyAlignment="1">
      <alignment horizontal="center"/>
    </xf>
    <xf numFmtId="11" fontId="0" fillId="0" borderId="4" xfId="0" applyNumberFormat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2" fontId="1" fillId="2" borderId="8" xfId="1" applyNumberFormat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164" fontId="0" fillId="0" borderId="3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6" fontId="1" fillId="2" borderId="11" xfId="1" applyNumberFormat="1" applyBorder="1" applyAlignment="1">
      <alignment horizontal="center"/>
    </xf>
    <xf numFmtId="2" fontId="1" fillId="2" borderId="11" xfId="1" applyNumberFormat="1" applyBorder="1" applyAlignment="1">
      <alignment horizontal="center"/>
    </xf>
    <xf numFmtId="1" fontId="1" fillId="2" borderId="11" xfId="1" applyNumberFormat="1" applyBorder="1" applyAlignment="1">
      <alignment horizontal="center"/>
    </xf>
    <xf numFmtId="1" fontId="1" fillId="2" borderId="8" xfId="1" applyNumberForma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3">
    <cellStyle name="Check Cell" xfId="2" builtinId="23"/>
    <cellStyle name="Input" xfId="1" builtinId="20"/>
    <cellStyle name="Normal" xfId="0" builtinId="0"/>
  </cellStyles>
  <dxfs count="6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none">
          <fgColor indexed="64"/>
          <bgColor auto="1"/>
        </patternFill>
      </fill>
      <border>
        <left style="thin">
          <color rgb="FF0000FF"/>
        </left>
        <right style="thin">
          <color rgb="FF0000FF"/>
        </right>
        <top style="thin">
          <color rgb="FF0000FF"/>
        </top>
        <bottom style="thin">
          <color rgb="FF0000FF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none">
          <fgColor indexed="64"/>
          <bgColor auto="1"/>
        </patternFill>
      </fill>
      <border>
        <left style="thin">
          <color rgb="FF0000FF"/>
        </left>
        <right style="thin">
          <color rgb="FF0000FF"/>
        </right>
        <top style="thin">
          <color rgb="FF0000FF"/>
        </top>
        <bottom style="thin">
          <color rgb="FF0000FF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 patternType="none">
          <fgColor indexed="64"/>
          <bgColor auto="1"/>
        </patternFill>
      </fill>
      <border>
        <left style="thin">
          <color rgb="FF0000FF"/>
        </left>
        <right style="thin">
          <color rgb="FF0000FF"/>
        </right>
        <top style="thin">
          <color rgb="FF0000FF"/>
        </top>
        <bottom style="thin">
          <color rgb="FF0000FF"/>
        </bottom>
      </border>
    </dxf>
  </dxfs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Carbonate</a:t>
            </a:r>
            <a:r>
              <a:rPr lang="en-US" baseline="0"/>
              <a:t> and Sulfide Speciation as a Function of pH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5562429696288"/>
          <c:y val="0.102013422818792"/>
          <c:w val="0.858923693211818"/>
          <c:h val="0.731788123799961"/>
        </c:manualLayout>
      </c:layout>
      <c:scatterChart>
        <c:scatterStyle val="smoothMarker"/>
        <c:varyColors val="0"/>
        <c:ser>
          <c:idx val="0"/>
          <c:order val="0"/>
          <c:tx>
            <c:strRef>
              <c:f>Carbonate_Sulfide_Speciation!$C$3</c:f>
              <c:strCache>
                <c:ptCount val="1"/>
                <c:pt idx="0">
                  <c:v>{H+}</c:v>
                </c:pt>
              </c:strCache>
            </c:strRef>
          </c:tx>
          <c:spPr>
            <a:ln w="127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Carbonate_Sulfide_Speciation!$B$4:$B$16</c:f>
              <c:numCache>
                <c:formatCode>0</c:formatCode>
                <c:ptCount val="13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</c:numCache>
            </c:numRef>
          </c:xVal>
          <c:yVal>
            <c:numRef>
              <c:f>Carbonate_Sulfide_Speciation!$C$4:$C$16</c:f>
              <c:numCache>
                <c:formatCode>0.0E+00</c:formatCode>
                <c:ptCount val="13"/>
                <c:pt idx="0">
                  <c:v>0.1</c:v>
                </c:pt>
                <c:pt idx="1">
                  <c:v>0.01</c:v>
                </c:pt>
                <c:pt idx="2">
                  <c:v>0.001</c:v>
                </c:pt>
                <c:pt idx="3">
                  <c:v>0.0001</c:v>
                </c:pt>
                <c:pt idx="4">
                  <c:v>1.0E-5</c:v>
                </c:pt>
                <c:pt idx="5">
                  <c:v>1.0E-6</c:v>
                </c:pt>
                <c:pt idx="6">
                  <c:v>1.0E-7</c:v>
                </c:pt>
                <c:pt idx="7">
                  <c:v>1.0E-8</c:v>
                </c:pt>
                <c:pt idx="8">
                  <c:v>1.0E-9</c:v>
                </c:pt>
                <c:pt idx="9">
                  <c:v>1.0E-10</c:v>
                </c:pt>
                <c:pt idx="10">
                  <c:v>1.0E-11</c:v>
                </c:pt>
                <c:pt idx="11">
                  <c:v>1.0E-12</c:v>
                </c:pt>
                <c:pt idx="12">
                  <c:v>1.0E-13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Carbonate_Sulfide_Speciation!$D$3</c:f>
              <c:strCache>
                <c:ptCount val="1"/>
                <c:pt idx="0">
                  <c:v>{0H-}</c:v>
                </c:pt>
              </c:strCache>
            </c:strRef>
          </c:tx>
          <c:spPr>
            <a:ln w="12700" cmpd="sng">
              <a:solidFill>
                <a:schemeClr val="tx1"/>
              </a:solidFill>
              <a:prstDash val="sysDash"/>
            </a:ln>
          </c:spPr>
          <c:marker>
            <c:symbol val="none"/>
          </c:marker>
          <c:xVal>
            <c:numRef>
              <c:f>Carbonate_Sulfide_Speciation!$B$4:$B$16</c:f>
              <c:numCache>
                <c:formatCode>0</c:formatCode>
                <c:ptCount val="13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</c:numCache>
            </c:numRef>
          </c:xVal>
          <c:yVal>
            <c:numRef>
              <c:f>Carbonate_Sulfide_Speciation!$D$4:$D$16</c:f>
              <c:numCache>
                <c:formatCode>0.0E+00</c:formatCode>
                <c:ptCount val="13"/>
                <c:pt idx="0">
                  <c:v>1.0E-13</c:v>
                </c:pt>
                <c:pt idx="1">
                  <c:v>1.0E-12</c:v>
                </c:pt>
                <c:pt idx="2">
                  <c:v>1.0E-11</c:v>
                </c:pt>
                <c:pt idx="3">
                  <c:v>1.0E-10</c:v>
                </c:pt>
                <c:pt idx="4">
                  <c:v>1.0E-9</c:v>
                </c:pt>
                <c:pt idx="5">
                  <c:v>1.0E-8</c:v>
                </c:pt>
                <c:pt idx="6">
                  <c:v>1.0E-7</c:v>
                </c:pt>
                <c:pt idx="7">
                  <c:v>1.0E-6</c:v>
                </c:pt>
                <c:pt idx="8">
                  <c:v>1.0E-5</c:v>
                </c:pt>
                <c:pt idx="9">
                  <c:v>1.0E-4</c:v>
                </c:pt>
                <c:pt idx="10">
                  <c:v>0.001</c:v>
                </c:pt>
                <c:pt idx="11">
                  <c:v>0.01</c:v>
                </c:pt>
                <c:pt idx="12">
                  <c:v>0.1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Carbonate_Sulfide_Speciation!$E$3</c:f>
              <c:strCache>
                <c:ptCount val="1"/>
                <c:pt idx="0">
                  <c:v>{Na+}</c:v>
                </c:pt>
              </c:strCache>
            </c:strRef>
          </c:tx>
          <c:marker>
            <c:symbol val="none"/>
          </c:marker>
          <c:xVal>
            <c:numRef>
              <c:f>Carbonate_Sulfide_Speciation!$B$4:$B$16</c:f>
              <c:numCache>
                <c:formatCode>0</c:formatCode>
                <c:ptCount val="13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</c:numCache>
            </c:numRef>
          </c:xVal>
          <c:yVal>
            <c:numRef>
              <c:f>Carbonate_Sulfide_Speciation!$E$4:$E$16</c:f>
              <c:numCache>
                <c:formatCode>0.0E+00</c:formatCode>
                <c:ptCount val="13"/>
                <c:pt idx="0">
                  <c:v>0.0369276483145201</c:v>
                </c:pt>
                <c:pt idx="1">
                  <c:v>0.0369276483145201</c:v>
                </c:pt>
                <c:pt idx="2">
                  <c:v>0.0369276483145201</c:v>
                </c:pt>
                <c:pt idx="3">
                  <c:v>0.0369276483145201</c:v>
                </c:pt>
                <c:pt idx="4">
                  <c:v>0.0369276483145201</c:v>
                </c:pt>
                <c:pt idx="5">
                  <c:v>0.0369276483145201</c:v>
                </c:pt>
                <c:pt idx="6">
                  <c:v>0.0369276483145201</c:v>
                </c:pt>
                <c:pt idx="7">
                  <c:v>0.0369276483145201</c:v>
                </c:pt>
                <c:pt idx="8">
                  <c:v>0.0369276483145201</c:v>
                </c:pt>
                <c:pt idx="9">
                  <c:v>0.0369276483145201</c:v>
                </c:pt>
                <c:pt idx="10">
                  <c:v>0.0369276483145201</c:v>
                </c:pt>
                <c:pt idx="11">
                  <c:v>0.0369276483145201</c:v>
                </c:pt>
                <c:pt idx="12">
                  <c:v>0.0369276483145201</c:v>
                </c:pt>
              </c:numCache>
            </c:numRef>
          </c:yVal>
          <c:smooth val="1"/>
        </c:ser>
        <c:ser>
          <c:idx val="4"/>
          <c:order val="3"/>
          <c:tx>
            <c:strRef>
              <c:f>Carbonate_Sulfide_Speciation!$G$3</c:f>
              <c:strCache>
                <c:ptCount val="1"/>
                <c:pt idx="0">
                  <c:v>{H2S}</c:v>
                </c:pt>
              </c:strCache>
            </c:strRef>
          </c:tx>
          <c:spPr>
            <a:ln>
              <a:solidFill>
                <a:schemeClr val="tx2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Carbonate_Sulfide_Speciation!$B$4:$B$16</c:f>
              <c:numCache>
                <c:formatCode>0</c:formatCode>
                <c:ptCount val="13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</c:numCache>
            </c:numRef>
          </c:xVal>
          <c:yVal>
            <c:numRef>
              <c:f>Carbonate_Sulfide_Speciation!$G$4:$G$17</c:f>
              <c:numCache>
                <c:formatCode>0.0E+00</c:formatCode>
                <c:ptCount val="14"/>
                <c:pt idx="0">
                  <c:v>0.0199999775596561</c:v>
                </c:pt>
                <c:pt idx="1">
                  <c:v>0.019999775598827</c:v>
                </c:pt>
                <c:pt idx="2">
                  <c:v>0.0199977562148479</c:v>
                </c:pt>
                <c:pt idx="3">
                  <c:v>0.019977584781174</c:v>
                </c:pt>
                <c:pt idx="4">
                  <c:v>0.019778086219821</c:v>
                </c:pt>
                <c:pt idx="5">
                  <c:v>0.0179823471970317</c:v>
                </c:pt>
                <c:pt idx="6">
                  <c:v>0.00942498224365055</c:v>
                </c:pt>
                <c:pt idx="7">
                  <c:v>0.00163661696013814</c:v>
                </c:pt>
                <c:pt idx="8">
                  <c:v>0.000176652802998397</c:v>
                </c:pt>
                <c:pt idx="9">
                  <c:v>1.77860450747193E-5</c:v>
                </c:pt>
                <c:pt idx="10">
                  <c:v>1.75947192810152E-6</c:v>
                </c:pt>
                <c:pt idx="11">
                  <c:v>1.57742284731997E-7</c:v>
                </c:pt>
                <c:pt idx="12">
                  <c:v>7.75000515455459E-9</c:v>
                </c:pt>
                <c:pt idx="13">
                  <c:v>1.27321561779996E-10</c:v>
                </c:pt>
              </c:numCache>
            </c:numRef>
          </c:yVal>
          <c:smooth val="1"/>
        </c:ser>
        <c:ser>
          <c:idx val="6"/>
          <c:order val="4"/>
          <c:tx>
            <c:strRef>
              <c:f>Carbonate_Sulfide_Speciation!$I$3</c:f>
              <c:strCache>
                <c:ptCount val="1"/>
                <c:pt idx="0">
                  <c:v>{HS-}</c:v>
                </c:pt>
              </c:strCache>
            </c:strRef>
          </c:tx>
          <c:marker>
            <c:symbol val="none"/>
          </c:marker>
          <c:xVal>
            <c:numRef>
              <c:f>Carbonate_Sulfide_Speciation!$B$4:$B$16</c:f>
              <c:numCache>
                <c:formatCode>0</c:formatCode>
                <c:ptCount val="13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</c:numCache>
            </c:numRef>
          </c:xVal>
          <c:yVal>
            <c:numRef>
              <c:f>Carbonate_Sulfide_Speciation!$I$4:$I$17</c:f>
              <c:numCache>
                <c:formatCode>0.0E+00</c:formatCode>
                <c:ptCount val="14"/>
                <c:pt idx="0">
                  <c:v>2.24403439075593E-8</c:v>
                </c:pt>
                <c:pt idx="1">
                  <c:v>2.24401173037819E-7</c:v>
                </c:pt>
                <c:pt idx="2">
                  <c:v>2.24378515176911E-6</c:v>
                </c:pt>
                <c:pt idx="3">
                  <c:v>2.24152187968592E-5</c:v>
                </c:pt>
                <c:pt idx="4">
                  <c:v>0.000221913777294145</c:v>
                </c:pt>
                <c:pt idx="5">
                  <c:v>0.00201765254067347</c:v>
                </c:pt>
                <c:pt idx="6">
                  <c:v>0.0105750040088442</c:v>
                </c:pt>
                <c:pt idx="7">
                  <c:v>0.0183631443189857</c:v>
                </c:pt>
                <c:pt idx="8">
                  <c:v>0.019820770496837</c:v>
                </c:pt>
                <c:pt idx="9">
                  <c:v>0.0199562708028815</c:v>
                </c:pt>
                <c:pt idx="10">
                  <c:v>0.0197415997315616</c:v>
                </c:pt>
                <c:pt idx="11">
                  <c:v>0.0176989754493055</c:v>
                </c:pt>
                <c:pt idx="12">
                  <c:v>0.00869564880434558</c:v>
                </c:pt>
                <c:pt idx="13">
                  <c:v>0.00142857141947703</c:v>
                </c:pt>
              </c:numCache>
            </c:numRef>
          </c:yVal>
          <c:smooth val="1"/>
        </c:ser>
        <c:ser>
          <c:idx val="8"/>
          <c:order val="5"/>
          <c:tx>
            <c:strRef>
              <c:f>Carbonate_Sulfide_Speciation!$K$3</c:f>
              <c:strCache>
                <c:ptCount val="1"/>
                <c:pt idx="0">
                  <c:v>{S--}</c:v>
                </c:pt>
              </c:strCache>
            </c:strRef>
          </c:tx>
          <c:spPr>
            <a:ln>
              <a:solidFill>
                <a:schemeClr val="tx2">
                  <a:lumMod val="40000"/>
                  <a:lumOff val="60000"/>
                </a:schemeClr>
              </a:solidFill>
            </a:ln>
          </c:spPr>
          <c:marker>
            <c:symbol val="none"/>
          </c:marker>
          <c:xVal>
            <c:numRef>
              <c:f>Carbonate_Sulfide_Speciation!$B$4:$B$17</c:f>
              <c:numCache>
                <c:formatCode>0</c:formatCode>
                <c:ptCount val="14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 formatCode="0.00">
                  <c:v>14.0</c:v>
                </c:pt>
              </c:numCache>
            </c:numRef>
          </c:xVal>
          <c:yVal>
            <c:numRef>
              <c:f>Carbonate_Sulfide_Speciation!$K$4:$K$17</c:f>
              <c:numCache>
                <c:formatCode>0.0E+00</c:formatCode>
                <c:ptCount val="14"/>
                <c:pt idx="0">
                  <c:v>2.9172447079827E-20</c:v>
                </c:pt>
                <c:pt idx="1">
                  <c:v>2.91721524949165E-18</c:v>
                </c:pt>
                <c:pt idx="2">
                  <c:v>2.91692069729985E-16</c:v>
                </c:pt>
                <c:pt idx="3">
                  <c:v>2.9139784435917E-14</c:v>
                </c:pt>
                <c:pt idx="4">
                  <c:v>2.88487910482388E-12</c:v>
                </c:pt>
                <c:pt idx="5">
                  <c:v>2.62294830287551E-10</c:v>
                </c:pt>
                <c:pt idx="6">
                  <c:v>1.37475052114975E-8</c:v>
                </c:pt>
                <c:pt idx="7">
                  <c:v>2.38720876146814E-7</c:v>
                </c:pt>
                <c:pt idx="8">
                  <c:v>2.57670016458881E-6</c:v>
                </c:pt>
                <c:pt idx="9">
                  <c:v>2.5943152043746E-5</c:v>
                </c:pt>
                <c:pt idx="10">
                  <c:v>0.000256640796510301</c:v>
                </c:pt>
                <c:pt idx="11">
                  <c:v>0.00230086680840972</c:v>
                </c:pt>
                <c:pt idx="12">
                  <c:v>0.0113043434456493</c:v>
                </c:pt>
                <c:pt idx="13">
                  <c:v>0.0185714284532014</c:v>
                </c:pt>
              </c:numCache>
            </c:numRef>
          </c:yVal>
          <c:smooth val="1"/>
        </c:ser>
        <c:ser>
          <c:idx val="10"/>
          <c:order val="6"/>
          <c:tx>
            <c:strRef>
              <c:f>Carbonate_Sulfide_Speciation!$S$3</c:f>
              <c:strCache>
                <c:ptCount val="1"/>
                <c:pt idx="0">
                  <c:v>RHS</c:v>
                </c:pt>
              </c:strCache>
            </c:strRef>
          </c:tx>
          <c:spPr>
            <a:ln w="28575" cmpd="sng">
              <a:solidFill>
                <a:schemeClr val="tx1">
                  <a:alpha val="82000"/>
                </a:schemeClr>
              </a:solidFill>
              <a:prstDash val="dash"/>
            </a:ln>
          </c:spPr>
          <c:marker>
            <c:symbol val="none"/>
          </c:marker>
          <c:xVal>
            <c:numRef>
              <c:f>Carbonate_Sulfide_Speciation!$B$4:$B$16</c:f>
              <c:numCache>
                <c:formatCode>0</c:formatCode>
                <c:ptCount val="13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</c:numCache>
            </c:numRef>
          </c:xVal>
          <c:yVal>
            <c:numRef>
              <c:f>Carbonate_Sulfide_Speciation!$S$4:$S$18</c:f>
              <c:numCache>
                <c:formatCode>0.0E+00</c:formatCode>
                <c:ptCount val="15"/>
                <c:pt idx="0">
                  <c:v>0.13692764831452</c:v>
                </c:pt>
                <c:pt idx="1">
                  <c:v>0.0469276483145201</c:v>
                </c:pt>
                <c:pt idx="2">
                  <c:v>0.0379276483145201</c:v>
                </c:pt>
                <c:pt idx="3">
                  <c:v>0.0370276483145201</c:v>
                </c:pt>
                <c:pt idx="4">
                  <c:v>0.0369376483145201</c:v>
                </c:pt>
                <c:pt idx="5">
                  <c:v>0.0369286483145201</c:v>
                </c:pt>
                <c:pt idx="6">
                  <c:v>0.0369277483145201</c:v>
                </c:pt>
                <c:pt idx="7">
                  <c:v>0.0369276583145201</c:v>
                </c:pt>
                <c:pt idx="8">
                  <c:v>0.0369276493145201</c:v>
                </c:pt>
                <c:pt idx="9">
                  <c:v>0.0369276484145201</c:v>
                </c:pt>
                <c:pt idx="10">
                  <c:v>0.0369276483245201</c:v>
                </c:pt>
                <c:pt idx="11">
                  <c:v>0.0369276483155201</c:v>
                </c:pt>
                <c:pt idx="12">
                  <c:v>0.0369276483146201</c:v>
                </c:pt>
                <c:pt idx="13">
                  <c:v>0.0369276483145301</c:v>
                </c:pt>
                <c:pt idx="14">
                  <c:v>0.0369279645422861</c:v>
                </c:pt>
              </c:numCache>
            </c:numRef>
          </c:yVal>
          <c:smooth val="1"/>
        </c:ser>
        <c:ser>
          <c:idx val="11"/>
          <c:order val="7"/>
          <c:tx>
            <c:strRef>
              <c:f>Carbonate_Sulfide_Speciation!$T$3</c:f>
              <c:strCache>
                <c:ptCount val="1"/>
                <c:pt idx="0">
                  <c:v>LHS</c:v>
                </c:pt>
              </c:strCache>
            </c:strRef>
          </c:tx>
          <c:spPr>
            <a:ln w="57150" cmpd="sng">
              <a:solidFill>
                <a:schemeClr val="tx1"/>
              </a:solidFill>
              <a:prstDash val="sysDot"/>
            </a:ln>
          </c:spPr>
          <c:marker>
            <c:symbol val="none"/>
          </c:marker>
          <c:xVal>
            <c:numRef>
              <c:f>Carbonate_Sulfide_Speciation!$B$4:$B$16</c:f>
              <c:numCache>
                <c:formatCode>0</c:formatCode>
                <c:ptCount val="13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</c:numCache>
            </c:numRef>
          </c:xVal>
          <c:yVal>
            <c:numRef>
              <c:f>Carbonate_Sulfide_Speciation!$T$4:$T$17</c:f>
              <c:numCache>
                <c:formatCode>0.0E+00</c:formatCode>
                <c:ptCount val="14"/>
                <c:pt idx="0">
                  <c:v>3.76337633870115E-8</c:v>
                </c:pt>
                <c:pt idx="1">
                  <c:v>3.76335369500502E-7</c:v>
                </c:pt>
                <c:pt idx="2">
                  <c:v>3.76312728321189E-6</c:v>
                </c:pt>
                <c:pt idx="3">
                  <c:v>3.76086567928244E-5</c:v>
                </c:pt>
                <c:pt idx="4">
                  <c:v>0.000373849825349924</c:v>
                </c:pt>
                <c:pt idx="5">
                  <c:v>0.00353717977903989</c:v>
                </c:pt>
                <c:pt idx="6">
                  <c:v>0.0257869277332759</c:v>
                </c:pt>
                <c:pt idx="7">
                  <c:v>0.172145493220324</c:v>
                </c:pt>
                <c:pt idx="8">
                  <c:v>1.723935555030392</c:v>
                </c:pt>
                <c:pt idx="9">
                  <c:v>33.69019612217545</c:v>
                </c:pt>
                <c:pt idx="10">
                  <c:v>1999.631299905632</c:v>
                </c:pt>
                <c:pt idx="11">
                  <c:v>186287.0492883144</c:v>
                </c:pt>
                <c:pt idx="12">
                  <c:v>1.84919619549166E7</c:v>
                </c:pt>
                <c:pt idx="13">
                  <c:v>1.84782878464832E9</c:v>
                </c:pt>
              </c:numCache>
            </c:numRef>
          </c:yVal>
          <c:smooth val="1"/>
        </c:ser>
        <c:ser>
          <c:idx val="3"/>
          <c:order val="8"/>
          <c:tx>
            <c:v>{H2CO3}</c:v>
          </c:tx>
          <c:spPr>
            <a:ln>
              <a:solidFill>
                <a:schemeClr val="accent2">
                  <a:lumMod val="50000"/>
                  <a:alpha val="68000"/>
                </a:schemeClr>
              </a:solidFill>
            </a:ln>
          </c:spPr>
          <c:marker>
            <c:symbol val="none"/>
          </c:marker>
          <c:xVal>
            <c:numRef>
              <c:f>Carbonate_Sulfide_Speciation!$B$4:$B$17</c:f>
              <c:numCache>
                <c:formatCode>0</c:formatCode>
                <c:ptCount val="14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 formatCode="0.00">
                  <c:v>14.0</c:v>
                </c:pt>
              </c:numCache>
            </c:numRef>
          </c:xVal>
          <c:yVal>
            <c:numRef>
              <c:f>Carbonate_Sulfide_Speciation!$M$4:$M$17</c:f>
              <c:numCache>
                <c:formatCode>0.0E+00</c:formatCode>
                <c:ptCount val="14"/>
                <c:pt idx="0">
                  <c:v>0.00340136054421769</c:v>
                </c:pt>
                <c:pt idx="1">
                  <c:v>0.00340136054421769</c:v>
                </c:pt>
                <c:pt idx="2">
                  <c:v>0.00340136054421769</c:v>
                </c:pt>
                <c:pt idx="3">
                  <c:v>0.00340136054421769</c:v>
                </c:pt>
                <c:pt idx="4">
                  <c:v>0.00340136054421769</c:v>
                </c:pt>
                <c:pt idx="5">
                  <c:v>0.00340136054421769</c:v>
                </c:pt>
                <c:pt idx="6">
                  <c:v>0.00340136054421769</c:v>
                </c:pt>
                <c:pt idx="7">
                  <c:v>0.00340136054421769</c:v>
                </c:pt>
                <c:pt idx="8">
                  <c:v>0.00340136054421769</c:v>
                </c:pt>
                <c:pt idx="9">
                  <c:v>0.00340136054421769</c:v>
                </c:pt>
                <c:pt idx="10">
                  <c:v>0.00340136054421769</c:v>
                </c:pt>
                <c:pt idx="11">
                  <c:v>0.00340136054421769</c:v>
                </c:pt>
                <c:pt idx="12">
                  <c:v>0.00340136054421769</c:v>
                </c:pt>
                <c:pt idx="13">
                  <c:v>0.00340136054421769</c:v>
                </c:pt>
              </c:numCache>
            </c:numRef>
          </c:yVal>
          <c:smooth val="1"/>
        </c:ser>
        <c:ser>
          <c:idx val="5"/>
          <c:order val="9"/>
          <c:tx>
            <c:v>{HCO3-}</c:v>
          </c:tx>
          <c:spPr>
            <a:ln>
              <a:solidFill>
                <a:schemeClr val="accent2">
                  <a:lumMod val="75000"/>
                  <a:alpha val="67000"/>
                </a:schemeClr>
              </a:solidFill>
            </a:ln>
          </c:spPr>
          <c:marker>
            <c:symbol val="none"/>
          </c:marker>
          <c:xVal>
            <c:numRef>
              <c:f>Carbonate_Sulfide_Speciation!$B$4:$B$17</c:f>
              <c:numCache>
                <c:formatCode>0</c:formatCode>
                <c:ptCount val="14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 formatCode="0.00">
                  <c:v>14.0</c:v>
                </c:pt>
              </c:numCache>
            </c:numRef>
          </c:xVal>
          <c:yVal>
            <c:numRef>
              <c:f>Carbonate_Sulfide_Speciation!$O$4:$O$17</c:f>
              <c:numCache>
                <c:formatCode>0.0E+00</c:formatCode>
                <c:ptCount val="14"/>
                <c:pt idx="0">
                  <c:v>1.51933194609171E-8</c:v>
                </c:pt>
                <c:pt idx="1">
                  <c:v>1.51933194609171E-7</c:v>
                </c:pt>
                <c:pt idx="2">
                  <c:v>1.51933194609171E-6</c:v>
                </c:pt>
                <c:pt idx="3">
                  <c:v>1.51933194609171E-5</c:v>
                </c:pt>
                <c:pt idx="4">
                  <c:v>0.000151933194609171</c:v>
                </c:pt>
                <c:pt idx="5">
                  <c:v>0.00151933194609171</c:v>
                </c:pt>
                <c:pt idx="6">
                  <c:v>0.0151933194609171</c:v>
                </c:pt>
                <c:pt idx="7">
                  <c:v>0.151933194609171</c:v>
                </c:pt>
                <c:pt idx="8">
                  <c:v>1.519331946091712</c:v>
                </c:pt>
                <c:pt idx="9">
                  <c:v>15.19331946091712</c:v>
                </c:pt>
                <c:pt idx="10">
                  <c:v>151.9331946091712</c:v>
                </c:pt>
                <c:pt idx="11">
                  <c:v>1519.331946091712</c:v>
                </c:pt>
                <c:pt idx="12">
                  <c:v>15193.31946091712</c:v>
                </c:pt>
                <c:pt idx="13">
                  <c:v>151933.1946091712</c:v>
                </c:pt>
              </c:numCache>
            </c:numRef>
          </c:yVal>
          <c:smooth val="1"/>
        </c:ser>
        <c:ser>
          <c:idx val="7"/>
          <c:order val="10"/>
          <c:tx>
            <c:v>{CO3-}</c:v>
          </c:tx>
          <c:spPr>
            <a:ln>
              <a:solidFill>
                <a:schemeClr val="accent2">
                  <a:lumMod val="60000"/>
                  <a:lumOff val="40000"/>
                </a:schemeClr>
              </a:solidFill>
            </a:ln>
          </c:spPr>
          <c:marker>
            <c:symbol val="none"/>
          </c:marker>
          <c:xVal>
            <c:numRef>
              <c:f>Carbonate_Sulfide_Speciation!$B$4:$B$17</c:f>
              <c:numCache>
                <c:formatCode>0</c:formatCode>
                <c:ptCount val="14"/>
                <c:pt idx="0">
                  <c:v>1.0</c:v>
                </c:pt>
                <c:pt idx="1">
                  <c:v>2.0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7.0</c:v>
                </c:pt>
                <c:pt idx="7">
                  <c:v>8.0</c:v>
                </c:pt>
                <c:pt idx="8">
                  <c:v>9.0</c:v>
                </c:pt>
                <c:pt idx="9">
                  <c:v>10.0</c:v>
                </c:pt>
                <c:pt idx="10">
                  <c:v>11.0</c:v>
                </c:pt>
                <c:pt idx="11">
                  <c:v>12.0</c:v>
                </c:pt>
                <c:pt idx="12">
                  <c:v>13.0</c:v>
                </c:pt>
                <c:pt idx="13" formatCode="0.00">
                  <c:v>14.0</c:v>
                </c:pt>
              </c:numCache>
            </c:numRef>
          </c:xVal>
          <c:yVal>
            <c:numRef>
              <c:f>Carbonate_Sulfide_Speciation!$Q$4:$Q$18</c:f>
              <c:numCache>
                <c:formatCode>0.0E+00</c:formatCode>
                <c:ptCount val="15"/>
                <c:pt idx="0">
                  <c:v>9.23838425207568E-18</c:v>
                </c:pt>
                <c:pt idx="1">
                  <c:v>9.23838425207568E-16</c:v>
                </c:pt>
                <c:pt idx="2">
                  <c:v>9.23838425207568E-14</c:v>
                </c:pt>
                <c:pt idx="3">
                  <c:v>9.23838425207568E-12</c:v>
                </c:pt>
                <c:pt idx="4">
                  <c:v>9.23838425207568E-10</c:v>
                </c:pt>
                <c:pt idx="5">
                  <c:v>9.23838425207568E-8</c:v>
                </c:pt>
                <c:pt idx="6">
                  <c:v>9.23838425207568E-6</c:v>
                </c:pt>
                <c:pt idx="7">
                  <c:v>0.000923838425207568</c:v>
                </c:pt>
                <c:pt idx="8">
                  <c:v>0.0923838425207568</c:v>
                </c:pt>
                <c:pt idx="9">
                  <c:v>9.238384252075681</c:v>
                </c:pt>
                <c:pt idx="10">
                  <c:v>923.8384252075682</c:v>
                </c:pt>
                <c:pt idx="11">
                  <c:v>92383.84252075684</c:v>
                </c:pt>
                <c:pt idx="12">
                  <c:v>9.23838425207568E6</c:v>
                </c:pt>
                <c:pt idx="13">
                  <c:v>9.23838425207568E8</c:v>
                </c:pt>
                <c:pt idx="14">
                  <c:v>9.23838425207571E-7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46376088"/>
        <c:axId val="950079208"/>
      </c:scatterChart>
      <c:valAx>
        <c:axId val="846376088"/>
        <c:scaling>
          <c:orientation val="minMax"/>
          <c:max val="14.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2400"/>
                  <a:t>pH</a:t>
                </a:r>
              </a:p>
            </c:rich>
          </c:tx>
          <c:layout>
            <c:manualLayout>
              <c:xMode val="edge"/>
              <c:yMode val="edge"/>
              <c:x val="0.509956956910998"/>
              <c:y val="0.255417569448114"/>
            </c:manualLayout>
          </c:layout>
          <c:overlay val="0"/>
        </c:title>
        <c:numFmt formatCode="0" sourceLinked="1"/>
        <c:majorTickMark val="none"/>
        <c:minorTickMark val="none"/>
        <c:tickLblPos val="nextTo"/>
        <c:crossAx val="950079208"/>
        <c:crosses val="autoZero"/>
        <c:crossBetween val="midCat"/>
        <c:majorUnit val="1.0"/>
      </c:valAx>
      <c:valAx>
        <c:axId val="950079208"/>
        <c:scaling>
          <c:logBase val="10.0"/>
          <c:orientation val="minMax"/>
          <c:max val="100.0"/>
          <c:min val="0.0001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2000"/>
                </a:pPr>
                <a:r>
                  <a:rPr lang="en-US" sz="2000"/>
                  <a:t>Log</a:t>
                </a:r>
                <a:r>
                  <a:rPr lang="en-US" sz="2000" baseline="0"/>
                  <a:t>10(Concentration) [Molar]</a:t>
                </a:r>
                <a:endParaRPr lang="en-US" sz="2000"/>
              </a:p>
            </c:rich>
          </c:tx>
          <c:layout/>
          <c:overlay val="0"/>
        </c:title>
        <c:numFmt formatCode="0.E+00" sourceLinked="0"/>
        <c:majorTickMark val="none"/>
        <c:minorTickMark val="none"/>
        <c:tickLblPos val="nextTo"/>
        <c:crossAx val="84637608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>
            <a:defRPr sz="18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482600</xdr:colOff>
      <xdr:row>46</xdr:row>
      <xdr:rowOff>50800</xdr:rowOff>
    </xdr:from>
    <xdr:to>
      <xdr:col>16</xdr:col>
      <xdr:colOff>673100</xdr:colOff>
      <xdr:row>76</xdr:row>
      <xdr:rowOff>12700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6" tint="-0.499984740745262"/>
  </sheetPr>
  <dimension ref="A1:U45"/>
  <sheetViews>
    <sheetView tabSelected="1" topLeftCell="A38" workbookViewId="0">
      <selection activeCell="F64" sqref="F64"/>
    </sheetView>
  </sheetViews>
  <sheetFormatPr baseColWidth="10" defaultRowHeight="15" x14ac:dyDescent="0"/>
  <cols>
    <col min="1" max="1" width="15.83203125" customWidth="1"/>
    <col min="6" max="6" width="12.5" bestFit="1" customWidth="1"/>
    <col min="16" max="16" width="14.33203125" customWidth="1"/>
  </cols>
  <sheetData>
    <row r="1" spans="1:20" ht="20">
      <c r="A1" s="33"/>
      <c r="B1" s="34" t="s">
        <v>60</v>
      </c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20">
      <c r="A2" s="33"/>
      <c r="B2" s="32" t="s">
        <v>59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1:20" ht="16" thickBot="1">
      <c r="B3" s="22" t="s">
        <v>56</v>
      </c>
      <c r="C3" s="22" t="s">
        <v>55</v>
      </c>
      <c r="D3" s="22" t="s">
        <v>54</v>
      </c>
      <c r="E3" s="22" t="s">
        <v>53</v>
      </c>
      <c r="F3" s="22" t="s">
        <v>21</v>
      </c>
      <c r="G3" s="22" t="s">
        <v>52</v>
      </c>
      <c r="H3" s="22" t="s">
        <v>17</v>
      </c>
      <c r="I3" s="22" t="s">
        <v>51</v>
      </c>
      <c r="J3" s="22" t="s">
        <v>12</v>
      </c>
      <c r="K3" s="22" t="s">
        <v>50</v>
      </c>
      <c r="L3" s="22"/>
      <c r="M3" s="22" t="s">
        <v>49</v>
      </c>
      <c r="N3" s="22" t="s">
        <v>48</v>
      </c>
      <c r="O3" s="22" t="s">
        <v>47</v>
      </c>
      <c r="P3" s="22" t="s">
        <v>46</v>
      </c>
      <c r="Q3" s="22" t="s">
        <v>45</v>
      </c>
      <c r="R3" s="22" t="s">
        <v>44</v>
      </c>
      <c r="S3" s="21" t="s">
        <v>43</v>
      </c>
      <c r="T3" s="21" t="s">
        <v>42</v>
      </c>
    </row>
    <row r="4" spans="1:20" ht="16" thickTop="1">
      <c r="B4" s="30">
        <v>1</v>
      </c>
      <c r="C4" s="17">
        <f>10^-B4</f>
        <v>0.1</v>
      </c>
      <c r="D4" s="17">
        <f>10^-14/C4</f>
        <v>9.999999999999999E-14</v>
      </c>
      <c r="E4" s="17">
        <f>$S$37</f>
        <v>3.6927648314520084E-2</v>
      </c>
      <c r="F4" s="17">
        <f>(C4^2)/(C4^2 + C4*$F$36+$F$36*$F$37)</f>
        <v>0.99999887798280451</v>
      </c>
      <c r="G4" s="17">
        <f>$S$36*F4</f>
        <v>1.9999977559656091E-2</v>
      </c>
      <c r="H4" s="17">
        <f>(C4*$F$36)/(C4^2 + C4*$F$36+$F$36*$F$37)</f>
        <v>1.1220171953779626E-6</v>
      </c>
      <c r="I4" s="17">
        <f>$S$36*H4</f>
        <v>2.2440343907559253E-8</v>
      </c>
      <c r="J4" s="17">
        <f>$F$36*$F$37 / (C4^2+C4*$F$36+$F$36*$F$37)</f>
        <v>1.4586223539913516E-18</v>
      </c>
      <c r="K4" s="17">
        <f>$S$36*J4</f>
        <v>2.9172447079827032E-20</v>
      </c>
      <c r="M4" s="17">
        <f>$B$43</f>
        <v>3.4013605442176874E-3</v>
      </c>
      <c r="N4" s="19">
        <f>$M$36/C4</f>
        <v>4.4668359215096321E-6</v>
      </c>
      <c r="O4" s="17">
        <f>M4*N4</f>
        <v>1.5193319460917119E-8</v>
      </c>
      <c r="P4" s="19">
        <f>$M$36*$M$37 / (C4^2)</f>
        <v>2.7160849701102497E-15</v>
      </c>
      <c r="Q4" s="17">
        <f>M4*P4</f>
        <v>9.2383842520756799E-18</v>
      </c>
      <c r="R4" s="18">
        <f>C4+E4-D4-I4-(2*K4)-O4-(2*Q4)</f>
        <v>0.13692761068075668</v>
      </c>
      <c r="S4" s="17">
        <f>C4+E4</f>
        <v>0.13692764831452009</v>
      </c>
      <c r="T4" s="17">
        <f>D4+I4+(2*K4)+O4+(2*Q4)</f>
        <v>3.7633763387011483E-8</v>
      </c>
    </row>
    <row r="5" spans="1:20">
      <c r="B5" s="30">
        <v>2</v>
      </c>
      <c r="C5" s="17">
        <f>10^-B5</f>
        <v>0.01</v>
      </c>
      <c r="D5" s="17">
        <f>10^-14/C5</f>
        <v>9.9999999999999998E-13</v>
      </c>
      <c r="E5" s="17">
        <f>$S$37</f>
        <v>3.6927648314520084E-2</v>
      </c>
      <c r="F5" s="17">
        <f>(C5^2)/(C5^2 + C5*$F$36+$F$36*$F$37)</f>
        <v>0.99998877994134794</v>
      </c>
      <c r="G5" s="17">
        <f>$S$36*F5</f>
        <v>1.9999775598826958E-2</v>
      </c>
      <c r="H5" s="17">
        <f>(C5*$F$36)/(C5^2 + C5*$F$36+$F$36*$F$37)</f>
        <v>1.1220058651890962E-5</v>
      </c>
      <c r="I5" s="17">
        <f>$S$36*H5</f>
        <v>2.2440117303781924E-7</v>
      </c>
      <c r="J5" s="17">
        <f>$F$36*$F$37 / (C5^2+C5*$F$36+$F$36*$F$37)</f>
        <v>1.4586076247458251E-16</v>
      </c>
      <c r="K5" s="17">
        <f>$S$36*J5</f>
        <v>2.9172152494916504E-18</v>
      </c>
      <c r="M5" s="17">
        <f>$B$43</f>
        <v>3.4013605442176874E-3</v>
      </c>
      <c r="N5" s="19">
        <f>$M$36/C5</f>
        <v>4.4668359215096328E-5</v>
      </c>
      <c r="O5" s="17">
        <f>M5*N5</f>
        <v>1.519331946091712E-7</v>
      </c>
      <c r="P5" s="19">
        <f>$M$36*$M$37 / (C5^2)</f>
        <v>2.71608497011025E-13</v>
      </c>
      <c r="Q5" s="17">
        <f>M5*P5</f>
        <v>9.2383842520756817E-16</v>
      </c>
      <c r="R5" s="18">
        <f>C5+E5-D5-I5-(2*K5)-O5-(2*Q5)</f>
        <v>4.6927271979150587E-2</v>
      </c>
      <c r="S5" s="25">
        <f>C5+E5</f>
        <v>4.6927648314520086E-2</v>
      </c>
      <c r="T5" s="17">
        <f>D5+I5+(2*K5)+O5+(2*Q5)</f>
        <v>3.7633536950050174E-7</v>
      </c>
    </row>
    <row r="6" spans="1:20">
      <c r="B6" s="30">
        <v>3</v>
      </c>
      <c r="C6" s="17">
        <f>10^-B6</f>
        <v>1E-3</v>
      </c>
      <c r="D6" s="17">
        <f>10^-14/C6</f>
        <v>9.9999999999999994E-12</v>
      </c>
      <c r="E6" s="17">
        <f>$S$37</f>
        <v>3.6927648314520084E-2</v>
      </c>
      <c r="F6" s="17">
        <f>(C6^2)/(C6^2 + C6*$F$36+$F$36*$F$37)</f>
        <v>0.99988781074239685</v>
      </c>
      <c r="G6" s="17">
        <f>$S$36*F6</f>
        <v>1.9997756214847937E-2</v>
      </c>
      <c r="H6" s="17">
        <f>(C6*$F$36)/(C6^2 + C6*$F$36+$F$36*$F$37)</f>
        <v>1.121892575884557E-4</v>
      </c>
      <c r="I6" s="17">
        <f>$S$36*H6</f>
        <v>2.243785151769114E-6</v>
      </c>
      <c r="J6" s="17">
        <f>$F$36*$F$37 / (C6^2+C6*$F$36+$F$36*$F$37)</f>
        <v>1.4584603486499243E-14</v>
      </c>
      <c r="K6" s="17">
        <f>$S$36*J6</f>
        <v>2.9169206972998488E-16</v>
      </c>
      <c r="M6" s="17">
        <f>$B$43</f>
        <v>3.4013605442176874E-3</v>
      </c>
      <c r="N6" s="19">
        <f>$M$36/C6</f>
        <v>4.4668359215096327E-4</v>
      </c>
      <c r="O6" s="17">
        <f>M6*N6</f>
        <v>1.5193319460917119E-6</v>
      </c>
      <c r="P6" s="19">
        <f>$M$36*$M$37 / (C6^2)</f>
        <v>2.7160849701102505E-11</v>
      </c>
      <c r="Q6" s="17">
        <f>M6*P6</f>
        <v>9.2383842520756829E-14</v>
      </c>
      <c r="R6" s="18">
        <f>C6+E6-D6-I6-(2*K6)-O6-(2*Q6)</f>
        <v>3.7923885187236869E-2</v>
      </c>
      <c r="S6" s="25">
        <f>C6+E6</f>
        <v>3.7927648314520085E-2</v>
      </c>
      <c r="T6" s="17">
        <f>D6+I6+(2*K6)+O6+(2*Q6)</f>
        <v>3.7631272832118946E-6</v>
      </c>
    </row>
    <row r="7" spans="1:20">
      <c r="B7" s="30">
        <v>4</v>
      </c>
      <c r="C7" s="17">
        <f>10^-B7</f>
        <v>1E-4</v>
      </c>
      <c r="D7" s="17">
        <f>10^-14/C7</f>
        <v>9.9999999999999991E-11</v>
      </c>
      <c r="E7" s="17">
        <f>$S$37</f>
        <v>3.6927648314520084E-2</v>
      </c>
      <c r="F7" s="17">
        <f>(C7^2)/(C7^2 + C7*$F$36+$F$36*$F$37)</f>
        <v>0.99887923905870002</v>
      </c>
      <c r="G7" s="17">
        <f>$S$36*F7</f>
        <v>1.9977584781174E-2</v>
      </c>
      <c r="H7" s="17">
        <f>(C7*$F$36)/(C7^2 + C7*$F$36+$F$36*$F$37)</f>
        <v>1.1207609398429625E-3</v>
      </c>
      <c r="I7" s="17">
        <f>$S$36*H7</f>
        <v>2.241521879685925E-5</v>
      </c>
      <c r="J7" s="17">
        <f>$F$36*$F$37 / (C7^2+C7*$F$36+$F$36*$F$37)</f>
        <v>1.4569892217958515E-12</v>
      </c>
      <c r="K7" s="17">
        <f>$S$36*J7</f>
        <v>2.913978443591703E-14</v>
      </c>
      <c r="M7" s="17">
        <f>$B$43</f>
        <v>3.4013605442176874E-3</v>
      </c>
      <c r="N7" s="19">
        <f>$M$36/C7</f>
        <v>4.4668359215096322E-3</v>
      </c>
      <c r="O7" s="17">
        <f>M7*N7</f>
        <v>1.5193319460917118E-5</v>
      </c>
      <c r="P7" s="19">
        <f>$M$36*$M$37 / (C7^2)</f>
        <v>2.7160849701102504E-9</v>
      </c>
      <c r="Q7" s="17">
        <f>M7*P7</f>
        <v>9.2383842520756818E-12</v>
      </c>
      <c r="R7" s="18">
        <f>C7+E7-D7-I7-(2*K7)-O7-(2*Q7)</f>
        <v>3.6990039657727257E-2</v>
      </c>
      <c r="S7" s="25">
        <f>C7+E7</f>
        <v>3.7027648314520087E-2</v>
      </c>
      <c r="T7" s="17">
        <f>D7+I7+(2*K7)+O7+(2*Q7)</f>
        <v>3.7608656792824442E-5</v>
      </c>
    </row>
    <row r="8" spans="1:20">
      <c r="B8" s="29">
        <v>5</v>
      </c>
      <c r="C8" s="25">
        <f>10^-B8</f>
        <v>1.0000000000000001E-5</v>
      </c>
      <c r="D8" s="25">
        <f>10^-14/C8</f>
        <v>9.9999999999999986E-10</v>
      </c>
      <c r="E8" s="17">
        <f>$S$37</f>
        <v>3.6927648314520084E-2</v>
      </c>
      <c r="F8" s="17">
        <f>(C8^2)/(C8^2 + C8*$F$36+$F$36*$F$37)</f>
        <v>0.98890431099104881</v>
      </c>
      <c r="G8" s="17">
        <f>$S$36*F8</f>
        <v>1.9778086219820978E-2</v>
      </c>
      <c r="H8" s="17">
        <f>(C8*$F$36)/(C8^2 + C8*$F$36+$F$36*$F$37)</f>
        <v>1.1095688864707234E-2</v>
      </c>
      <c r="I8" s="17">
        <f>$S$36*H8</f>
        <v>2.2191377729414467E-4</v>
      </c>
      <c r="J8" s="17">
        <f>$F$36*$F$37 / (C8^2+C8*$F$36+$F$36*$F$37)</f>
        <v>1.4424395524119403E-10</v>
      </c>
      <c r="K8" s="17">
        <f>$S$36*J8</f>
        <v>2.8848791048238807E-12</v>
      </c>
      <c r="M8" s="17">
        <f>$B$43</f>
        <v>3.4013605442176874E-3</v>
      </c>
      <c r="N8" s="19">
        <f>$M$36/C8</f>
        <v>4.466835921509632E-2</v>
      </c>
      <c r="O8" s="17">
        <f>M8*N8</f>
        <v>1.5193319460917118E-4</v>
      </c>
      <c r="P8" s="19">
        <f>$M$36*$M$37 / (C8^2)</f>
        <v>2.7160849701102496E-7</v>
      </c>
      <c r="Q8" s="17">
        <f>M8*P8</f>
        <v>9.2383842520756795E-10</v>
      </c>
      <c r="R8" s="18">
        <f>C8+E8-D8-I8-(2*K8)-O8-(2*Q8)</f>
        <v>3.6563798489170164E-2</v>
      </c>
      <c r="S8" s="25">
        <f>C8+E8</f>
        <v>3.6937648314520087E-2</v>
      </c>
      <c r="T8" s="17">
        <f>D8+I8+(2*K8)+O8+(2*Q8)</f>
        <v>3.7384982534992452E-4</v>
      </c>
    </row>
    <row r="9" spans="1:20">
      <c r="B9" s="29">
        <v>6</v>
      </c>
      <c r="C9" s="25">
        <f>10^-B9</f>
        <v>9.9999999999999995E-7</v>
      </c>
      <c r="D9" s="25">
        <f>10^-14/C9</f>
        <v>1E-8</v>
      </c>
      <c r="E9" s="17">
        <f>$S$37</f>
        <v>3.6927648314520084E-2</v>
      </c>
      <c r="F9" s="17">
        <f>(C9^2)/(C9^2 + C9*$F$36+$F$36*$F$37)</f>
        <v>0.89911735985158481</v>
      </c>
      <c r="G9" s="17">
        <f>$S$36*F9</f>
        <v>1.7982347197031696E-2</v>
      </c>
      <c r="H9" s="17">
        <f>(C9*$F$36)/(C9^2 + C9*$F$36+$F$36*$F$37)</f>
        <v>0.10088262703367361</v>
      </c>
      <c r="I9" s="17">
        <f>$S$36*H9</f>
        <v>2.0176525406734721E-3</v>
      </c>
      <c r="J9" s="17">
        <f>$F$36*$F$37 / (C9^2+C9*$F$36+$F$36*$F$37)</f>
        <v>1.3114741514377573E-8</v>
      </c>
      <c r="K9" s="17">
        <f>$S$36*J9</f>
        <v>2.6229483028755144E-10</v>
      </c>
      <c r="M9" s="17">
        <f>$B$43</f>
        <v>3.4013605442176874E-3</v>
      </c>
      <c r="N9" s="19">
        <f>$M$36/C9</f>
        <v>0.44668359215096332</v>
      </c>
      <c r="O9" s="17">
        <f>M9*N9</f>
        <v>1.5193319460917122E-3</v>
      </c>
      <c r="P9" s="19">
        <f>$M$36*$M$37 / (C9^2)</f>
        <v>2.7160849701102503E-5</v>
      </c>
      <c r="Q9" s="17">
        <f>M9*P9</f>
        <v>9.238384252075682E-8</v>
      </c>
      <c r="R9" s="18">
        <f>C9+E9-D9-I9-(2*K9)-O9-(2*Q9)</f>
        <v>3.3391468535480195E-2</v>
      </c>
      <c r="S9" s="25">
        <f>C9+E9</f>
        <v>3.6928648314520085E-2</v>
      </c>
      <c r="T9" s="17">
        <f>D9+I9+(2*K9)+O9+(2*Q9)</f>
        <v>3.537179779039887E-3</v>
      </c>
    </row>
    <row r="10" spans="1:20">
      <c r="B10" s="29">
        <v>7</v>
      </c>
      <c r="C10" s="25">
        <f>10^-B10</f>
        <v>9.9999999999999995E-8</v>
      </c>
      <c r="D10" s="25">
        <f>10^-14/C10</f>
        <v>1.0000000000000001E-7</v>
      </c>
      <c r="E10" s="17">
        <f>$S$37</f>
        <v>3.6927648314520084E-2</v>
      </c>
      <c r="F10" s="17">
        <f>(C10^2)/(C10^2 + C10*$F$36+$F$36*$F$37)</f>
        <v>0.47124911218252769</v>
      </c>
      <c r="G10" s="17">
        <f>$S$36*F10</f>
        <v>9.4249822436505547E-3</v>
      </c>
      <c r="H10" s="17">
        <f>(C10*$F$36)/(C10^2 + C10*$F$36+$F$36*$F$37)</f>
        <v>0.52875020044221177</v>
      </c>
      <c r="I10" s="17">
        <f>$S$36*H10</f>
        <v>1.0575004008844235E-2</v>
      </c>
      <c r="J10" s="17">
        <f>$F$36*$F$37 / (C10^2+C10*$F$36+$F$36*$F$37)</f>
        <v>6.8737526057487535E-7</v>
      </c>
      <c r="K10" s="17">
        <f>$S$36*J10</f>
        <v>1.3747505211497507E-8</v>
      </c>
      <c r="M10" s="17">
        <f>$B$43</f>
        <v>3.4013605442176874E-3</v>
      </c>
      <c r="N10" s="19">
        <f>$M$36/C10</f>
        <v>4.4668359215096327</v>
      </c>
      <c r="O10" s="17">
        <f>M10*N10</f>
        <v>1.5193319460917119E-2</v>
      </c>
      <c r="P10" s="19">
        <f>$M$36*$M$37 / (C10^2)</f>
        <v>2.7160849701102505E-3</v>
      </c>
      <c r="Q10" s="17">
        <f>M10*P10</f>
        <v>9.2383842520756828E-6</v>
      </c>
      <c r="R10" s="18">
        <f>C10+E10-D10-I10-(2*K10)-O10-(2*Q10)</f>
        <v>1.1140820581244153E-2</v>
      </c>
      <c r="S10" s="25">
        <f>C10+E10</f>
        <v>3.6927748314520087E-2</v>
      </c>
      <c r="T10" s="17">
        <f>D10+I10+(2*K10)+O10+(2*Q10)</f>
        <v>2.5786927733275927E-2</v>
      </c>
    </row>
    <row r="11" spans="1:20">
      <c r="B11" s="29">
        <v>8</v>
      </c>
      <c r="C11" s="25">
        <f>10^-B11</f>
        <v>1E-8</v>
      </c>
      <c r="D11" s="25">
        <f>10^-14/C11</f>
        <v>9.9999999999999995E-7</v>
      </c>
      <c r="E11" s="17">
        <f>$S$37</f>
        <v>3.6927648314520084E-2</v>
      </c>
      <c r="F11" s="17">
        <f>(C11^2)/(C11^2 + C11*$F$36+$F$36*$F$37)</f>
        <v>8.1830848006906987E-2</v>
      </c>
      <c r="G11" s="17">
        <f>$S$36*F11</f>
        <v>1.6366169601381398E-3</v>
      </c>
      <c r="H11" s="17">
        <f>(C11*$F$36)/(C11^2 + C11*$F$36+$F$36*$F$37)</f>
        <v>0.91815721594928568</v>
      </c>
      <c r="I11" s="17">
        <f>$S$36*H11</f>
        <v>1.8363144318985714E-2</v>
      </c>
      <c r="J11" s="17">
        <f>$F$36*$F$37 / (C11^2+C11*$F$36+$F$36*$F$37)</f>
        <v>1.1936043807340714E-5</v>
      </c>
      <c r="K11" s="17">
        <f>$S$36*J11</f>
        <v>2.3872087614681427E-7</v>
      </c>
      <c r="M11" s="17">
        <f>$B$43</f>
        <v>3.4013605442176874E-3</v>
      </c>
      <c r="N11" s="19">
        <f>$M$36/C11</f>
        <v>44.668359215096324</v>
      </c>
      <c r="O11" s="17">
        <f>M11*N11</f>
        <v>0.15193319460917118</v>
      </c>
      <c r="P11" s="19">
        <f>$M$36*$M$37 / (C11^2)</f>
        <v>0.27160849701102502</v>
      </c>
      <c r="Q11" s="17">
        <f>M11*P11</f>
        <v>9.2383842520756823E-4</v>
      </c>
      <c r="R11" s="18">
        <f>C11+E11-D11-I11-(2*K11)-O11-(2*Q11)</f>
        <v>-0.13521783490580425</v>
      </c>
      <c r="S11" s="25">
        <f>C11+E11</f>
        <v>3.6927658314520086E-2</v>
      </c>
      <c r="T11" s="17">
        <f>D11+I11+(2*K11)+O11+(2*Q11)</f>
        <v>0.17214549322032432</v>
      </c>
    </row>
    <row r="12" spans="1:20">
      <c r="B12" s="29">
        <v>9</v>
      </c>
      <c r="C12" s="25">
        <f>10^-B12</f>
        <v>1.0000000000000001E-9</v>
      </c>
      <c r="D12" s="25">
        <f>10^-14/C12</f>
        <v>9.9999999999999991E-6</v>
      </c>
      <c r="E12" s="17">
        <f>$S$37</f>
        <v>3.6927648314520084E-2</v>
      </c>
      <c r="F12" s="17">
        <f>(C12^2)/(C12^2 + C12*$F$36+$F$36*$F$37)</f>
        <v>8.8326401499198397E-3</v>
      </c>
      <c r="G12" s="17">
        <f>$S$36*F12</f>
        <v>1.766528029983968E-4</v>
      </c>
      <c r="H12" s="17">
        <f>(C12*$F$36)/(C12^2 + C12*$F$36+$F$36*$F$37)</f>
        <v>0.99103852484185084</v>
      </c>
      <c r="I12" s="17">
        <f>$S$36*H12</f>
        <v>1.9820770496837017E-2</v>
      </c>
      <c r="J12" s="17">
        <f>$F$36*$F$37 / (C12^2+C12*$F$36+$F$36*$F$37)</f>
        <v>1.2883500822944062E-4</v>
      </c>
      <c r="K12" s="17">
        <f>$S$36*J12</f>
        <v>2.5767001645888124E-6</v>
      </c>
      <c r="M12" s="17">
        <f>$B$43</f>
        <v>3.4013605442176874E-3</v>
      </c>
      <c r="N12" s="19">
        <f>$M$36/C12</f>
        <v>446.68359215096325</v>
      </c>
      <c r="O12" s="17">
        <f>M12*N12</f>
        <v>1.5193319460917118</v>
      </c>
      <c r="P12" s="19">
        <f>$M$36*$M$37 / (C12^2)</f>
        <v>27.160849701102499</v>
      </c>
      <c r="Q12" s="17">
        <f>M12*P12</f>
        <v>9.2383842520756806E-2</v>
      </c>
      <c r="R12" s="18">
        <f>C12+E12-D12-I12-(2*K12)-O12-(2*Q12)</f>
        <v>-1.6870079057158716</v>
      </c>
      <c r="S12" s="25">
        <f>C12+E12</f>
        <v>3.6927649314520083E-2</v>
      </c>
      <c r="T12" s="17">
        <f>D12+I12+(2*K12)+O12+(2*Q12)</f>
        <v>1.7239355550303916</v>
      </c>
    </row>
    <row r="13" spans="1:20">
      <c r="B13" s="29">
        <v>10</v>
      </c>
      <c r="C13" s="25">
        <f>10^-B13</f>
        <v>1E-10</v>
      </c>
      <c r="D13" s="25">
        <f>10^-14/C13</f>
        <v>9.9999999999999991E-5</v>
      </c>
      <c r="E13" s="17">
        <f>$S$37</f>
        <v>3.6927648314520084E-2</v>
      </c>
      <c r="F13" s="17">
        <f>(C13^2)/(C13^2 + C13*$F$36+$F$36*$F$37)</f>
        <v>8.8930225373596314E-4</v>
      </c>
      <c r="G13" s="17">
        <f>$S$36*F13</f>
        <v>1.7786045074719262E-5</v>
      </c>
      <c r="H13" s="17">
        <f>(C13*$F$36)/(C13^2 + C13*$F$36+$F$36*$F$37)</f>
        <v>0.99781354014407664</v>
      </c>
      <c r="I13" s="17">
        <f>$S$36*H13</f>
        <v>1.9956270802881534E-2</v>
      </c>
      <c r="J13" s="17">
        <f>$F$36*$F$37 / (C13^2+C13*$F$36+$F$36*$F$37)</f>
        <v>1.2971576021872998E-3</v>
      </c>
      <c r="K13" s="17">
        <f>$S$36*J13</f>
        <v>2.5943152043745997E-5</v>
      </c>
      <c r="M13" s="17">
        <f>$B$43</f>
        <v>3.4013605442176874E-3</v>
      </c>
      <c r="N13" s="19">
        <f>$M$36/C13</f>
        <v>4466.8359215096325</v>
      </c>
      <c r="O13" s="17">
        <f>M13*N13</f>
        <v>15.193319460917118</v>
      </c>
      <c r="P13" s="19">
        <f>$M$36*$M$37 / (C13^2)</f>
        <v>2716.0849701102502</v>
      </c>
      <c r="Q13" s="17">
        <f>M13*P13</f>
        <v>9.2383842520756811</v>
      </c>
      <c r="R13" s="18">
        <f>C13+E13-D13-I13-(2*K13)-O13-(2*Q13)</f>
        <v>-33.653268473760932</v>
      </c>
      <c r="S13" s="25">
        <f>C13+E13</f>
        <v>3.6927648414520085E-2</v>
      </c>
      <c r="T13" s="17">
        <f>D13+I13+(2*K13)+O13+(2*Q13)</f>
        <v>33.69019612217545</v>
      </c>
    </row>
    <row r="14" spans="1:20">
      <c r="B14" s="29">
        <v>11</v>
      </c>
      <c r="C14" s="25">
        <f>10^-B14</f>
        <v>9.9999999999999994E-12</v>
      </c>
      <c r="D14" s="25">
        <f>10^-14/C14</f>
        <v>1E-3</v>
      </c>
      <c r="E14" s="17">
        <f>$S$37</f>
        <v>3.6927648314520084E-2</v>
      </c>
      <c r="F14" s="17">
        <f>(C14^2)/(C14^2 + C14*$F$36+$F$36*$F$37)</f>
        <v>8.797359640507598E-5</v>
      </c>
      <c r="G14" s="17">
        <f>$S$36*F14</f>
        <v>1.7594719281015197E-6</v>
      </c>
      <c r="H14" s="17">
        <f>(C14*$F$36)/(C14^2 + C14*$F$36+$F$36*$F$37)</f>
        <v>0.98707998657808005</v>
      </c>
      <c r="I14" s="17">
        <f>$S$36*H14</f>
        <v>1.9741599731561602E-2</v>
      </c>
      <c r="J14" s="17">
        <f>$F$36*$F$37 / (C14^2+C14*$F$36+$F$36*$F$37)</f>
        <v>1.2832039825515042E-2</v>
      </c>
      <c r="K14" s="17">
        <f>$S$36*J14</f>
        <v>2.5664079651030084E-4</v>
      </c>
      <c r="M14" s="17">
        <f>$B$43</f>
        <v>3.4013605442176874E-3</v>
      </c>
      <c r="N14" s="19">
        <f>$M$36/C14</f>
        <v>44668.35921509633</v>
      </c>
      <c r="O14" s="17">
        <f>M14*N14</f>
        <v>151.93319460917121</v>
      </c>
      <c r="P14" s="19">
        <f>$M$36*$M$37 / (C14^2)</f>
        <v>271608.49701102503</v>
      </c>
      <c r="Q14" s="17">
        <f>M14*P14</f>
        <v>923.83842520756821</v>
      </c>
      <c r="R14" s="18">
        <f>C14+E14-D14-I14-(2*K14)-O14-(2*Q14)</f>
        <v>-1999.5943722573077</v>
      </c>
      <c r="S14" s="25">
        <f>C14+E14</f>
        <v>3.6927648324520085E-2</v>
      </c>
      <c r="T14" s="17">
        <f>D14+I14+(2*K14)+O14+(2*Q14)</f>
        <v>1999.6312999056322</v>
      </c>
    </row>
    <row r="15" spans="1:20">
      <c r="B15" s="29">
        <v>12</v>
      </c>
      <c r="C15" s="25">
        <f>10^-B15</f>
        <v>9.9999999999999998E-13</v>
      </c>
      <c r="D15" s="25">
        <f>10^-14/C15</f>
        <v>0.01</v>
      </c>
      <c r="E15" s="17">
        <f>$S$37</f>
        <v>3.6927648314520084E-2</v>
      </c>
      <c r="F15" s="17">
        <f>(C15^2)/(C15^2 + C15*$F$36+$F$36*$F$37)</f>
        <v>7.8871142365998575E-6</v>
      </c>
      <c r="G15" s="17">
        <f>$S$36*F15</f>
        <v>1.5774228473199715E-7</v>
      </c>
      <c r="H15" s="17">
        <f>(C15*$F$36)/(C15^2 + C15*$F$36+$F$36*$F$37)</f>
        <v>0.88494877246527737</v>
      </c>
      <c r="I15" s="17">
        <f>$S$36*H15</f>
        <v>1.7698975449305546E-2</v>
      </c>
      <c r="J15" s="17">
        <f>$F$36*$F$37 / (C15^2+C15*$F$36+$F$36*$F$37)</f>
        <v>0.11504334042048606</v>
      </c>
      <c r="K15" s="17">
        <f>$S$36*J15</f>
        <v>2.300866808409721E-3</v>
      </c>
      <c r="M15" s="17">
        <f>$B$43</f>
        <v>3.4013605442176874E-3</v>
      </c>
      <c r="N15" s="19">
        <f>$M$36/C15</f>
        <v>446683.59215096326</v>
      </c>
      <c r="O15" s="17">
        <f>M15*N15</f>
        <v>1519.3319460917119</v>
      </c>
      <c r="P15" s="19">
        <f>$M$36*$M$37 / (C15^2)</f>
        <v>27160849.701102506</v>
      </c>
      <c r="Q15" s="17">
        <f>M15*P15</f>
        <v>92383.842520756836</v>
      </c>
      <c r="R15" s="18">
        <f>C15+E15-D15-I15-(2*K15)-O15-(2*Q15)</f>
        <v>-186287.01236066612</v>
      </c>
      <c r="S15" s="25">
        <f>C15+E15</f>
        <v>3.6927648315520083E-2</v>
      </c>
      <c r="T15" s="17">
        <f>D15+I15+(2*K15)+O15+(2*Q15)</f>
        <v>186287.04928831445</v>
      </c>
    </row>
    <row r="16" spans="1:20">
      <c r="B16" s="29">
        <v>13</v>
      </c>
      <c r="C16" s="25">
        <f>10^-B16</f>
        <v>1E-13</v>
      </c>
      <c r="D16" s="25">
        <f>10^-14/C16</f>
        <v>9.9999999999999992E-2</v>
      </c>
      <c r="E16" s="17">
        <f>$S$37</f>
        <v>3.6927648314520084E-2</v>
      </c>
      <c r="F16" s="17">
        <f>(C16^2)/(C16^2 + C16*$F$36+$F$36*$F$37)</f>
        <v>3.8750025772772971E-7</v>
      </c>
      <c r="G16" s="17">
        <f>$S$36*F16</f>
        <v>7.7500051545545945E-9</v>
      </c>
      <c r="H16" s="17">
        <f>(C16*$F$36)/(C16^2 + C16*$F$36+$F$36*$F$37)</f>
        <v>0.43478244021727924</v>
      </c>
      <c r="I16" s="17">
        <f>$S$36*H16</f>
        <v>8.6956488043455852E-3</v>
      </c>
      <c r="J16" s="17">
        <f>$F$36*$F$37 / (C16^2+C16*$F$36+$F$36*$F$37)</f>
        <v>0.56521717228246304</v>
      </c>
      <c r="K16" s="17">
        <f>$S$36*J16</f>
        <v>1.130434344564926E-2</v>
      </c>
      <c r="M16" s="17">
        <f>$B$43</f>
        <v>3.4013605442176874E-3</v>
      </c>
      <c r="N16" s="19">
        <f>$M$36/C16</f>
        <v>4466835.9215096328</v>
      </c>
      <c r="O16" s="17">
        <f>M16*N16</f>
        <v>15193.319460917121</v>
      </c>
      <c r="P16" s="19">
        <f>$M$36*$M$37 / (C16^2)</f>
        <v>2716084970.11025</v>
      </c>
      <c r="Q16" s="17">
        <f>M16*P16</f>
        <v>9238384.2520756815</v>
      </c>
      <c r="R16" s="18">
        <f>C16+E16-D16-I16-(2*K16)-O16-(2*Q16)</f>
        <v>-18491961.917988967</v>
      </c>
      <c r="S16" s="25">
        <f>C16+E16</f>
        <v>3.6927648314620087E-2</v>
      </c>
      <c r="T16" s="17">
        <f>D16+I16+(2*K16)+O16+(2*Q16)</f>
        <v>18491961.954916615</v>
      </c>
    </row>
    <row r="17" spans="2:20">
      <c r="B17" s="28">
        <v>14</v>
      </c>
      <c r="C17" s="25">
        <f>10^-B17</f>
        <v>1E-14</v>
      </c>
      <c r="D17" s="25">
        <f>10^-14/C17</f>
        <v>1</v>
      </c>
      <c r="E17" s="17">
        <f>$S$37</f>
        <v>3.6927648314520084E-2</v>
      </c>
      <c r="F17" s="17">
        <f>(C17^2)/(C17^2 + C17*$F$36+$F$36*$F$37)</f>
        <v>6.3660780889998104E-9</v>
      </c>
      <c r="G17" s="17">
        <f>$S$36*F17</f>
        <v>1.2732156177999621E-10</v>
      </c>
      <c r="H17" s="17">
        <f>(C17*$F$36)/(C17^2 + C17*$F$36+$F$36*$F$37)</f>
        <v>7.1428570973851566E-2</v>
      </c>
      <c r="I17" s="17">
        <f>$S$36*H17</f>
        <v>1.4285714194770312E-3</v>
      </c>
      <c r="J17" s="17">
        <f>$F$36*$F$37 / (C17^2+C17*$F$36+$F$36*$F$37)</f>
        <v>0.92857142266007042</v>
      </c>
      <c r="K17" s="17">
        <f>$S$36*J17</f>
        <v>1.8571428453201408E-2</v>
      </c>
      <c r="M17" s="17">
        <f>$B$43</f>
        <v>3.4013605442176874E-3</v>
      </c>
      <c r="N17" s="19">
        <f>$M$36/C17</f>
        <v>44668359.215096325</v>
      </c>
      <c r="O17" s="17">
        <f>M17*N17</f>
        <v>151933.19460917119</v>
      </c>
      <c r="P17" s="19">
        <f>$M$36*$M$37 / (C17^2)</f>
        <v>271608497011.02502</v>
      </c>
      <c r="Q17" s="17">
        <f>M17*P17</f>
        <v>923838425.20756817</v>
      </c>
      <c r="R17" s="18">
        <f>C17+E17-D17-I17-(2*K17)-O17-(2*Q17)</f>
        <v>-1847828784.6113894</v>
      </c>
      <c r="S17" s="25">
        <f>C17+E17</f>
        <v>3.6927648314530083E-2</v>
      </c>
      <c r="T17" s="17">
        <f>D17+I17+(2*K17)+O17+(2*Q17)</f>
        <v>1847828784.6483169</v>
      </c>
    </row>
    <row r="18" spans="2:20">
      <c r="B18" s="27">
        <v>6.5</v>
      </c>
      <c r="C18" s="25">
        <f>10^-B18</f>
        <v>3.1622776601683734E-7</v>
      </c>
      <c r="D18" s="25">
        <f>10^-14/C18</f>
        <v>3.1622776601683851E-8</v>
      </c>
      <c r="E18" s="17">
        <f>$S$37</f>
        <v>3.6927648314520084E-2</v>
      </c>
      <c r="F18" s="17">
        <f>(C18^2)/(C18^2 + C18*$F$36+$F$36*$F$37)</f>
        <v>0.73810895307387092</v>
      </c>
      <c r="G18" s="17">
        <f>$S$36*F18</f>
        <v>1.4762179061477419E-2</v>
      </c>
      <c r="H18" s="17">
        <f>(C18*$F$36)/(C18^2 + C18*$F$36+$F$36*$F$37)</f>
        <v>0.26189093926378643</v>
      </c>
      <c r="I18" s="17">
        <f>$S$36*H18</f>
        <v>5.237818785275729E-3</v>
      </c>
      <c r="J18" s="17">
        <f>$F$36*$F$37 / (C18^2+C18*$F$36+$F$36*$F$37)</f>
        <v>1.0766234266247034E-7</v>
      </c>
      <c r="K18" s="17">
        <f>$S$36*J18</f>
        <v>2.153246853249407E-9</v>
      </c>
      <c r="M18" s="17">
        <f>$B$43</f>
        <v>3.4013605442176874E-3</v>
      </c>
      <c r="N18" s="19">
        <f>$M$36/C18</f>
        <v>1.4125375446227575</v>
      </c>
      <c r="O18" s="17">
        <f>M18*N18</f>
        <v>4.8045494715059783E-3</v>
      </c>
      <c r="P18" s="19">
        <f>$M$36*$M$37 / (C18^2)</f>
        <v>2.7160849701102604E-4</v>
      </c>
      <c r="Q18" s="17">
        <f>M18*P18</f>
        <v>9.2383842520757167E-7</v>
      </c>
      <c r="R18" s="18">
        <f>C18+E18-D18-I18-(2*K18)-O18-(2*Q18)</f>
        <v>2.6883712679383671E-2</v>
      </c>
      <c r="S18" s="25">
        <f>C18+E18</f>
        <v>3.6927964542286099E-2</v>
      </c>
      <c r="T18" s="17">
        <f>D18+I18+(2*K18)+O18+(2*Q18)</f>
        <v>1.0044251862902431E-2</v>
      </c>
    </row>
    <row r="19" spans="2:20">
      <c r="B19" s="27">
        <f>B18+0.1</f>
        <v>6.6</v>
      </c>
      <c r="C19" s="25">
        <f>10^-B19</f>
        <v>2.511886431509578E-7</v>
      </c>
      <c r="D19" s="25">
        <f>10^-14/C19</f>
        <v>3.9810717055349756E-8</v>
      </c>
      <c r="E19" s="17">
        <f>$S$37</f>
        <v>3.6927648314520084E-2</v>
      </c>
      <c r="F19" s="17">
        <f>(C19^2)/(C19^2 + C19*$F$36+$F$36*$F$37)</f>
        <v>0.69123604195701849</v>
      </c>
      <c r="G19" s="17">
        <f>$S$36*F19</f>
        <v>1.382472083914037E-2</v>
      </c>
      <c r="H19" s="17">
        <f>(C19*$F$36)/(C19^2 + C19*$F$36+$F$36*$F$37)</f>
        <v>0.30876379824557482</v>
      </c>
      <c r="I19" s="17">
        <f>$S$36*H19</f>
        <v>6.1752759649114962E-3</v>
      </c>
      <c r="J19" s="17">
        <f>$F$36*$F$37 / (C19^2+C19*$F$36+$F$36*$F$37)</f>
        <v>1.5979740671556581E-7</v>
      </c>
      <c r="K19" s="17">
        <f>$S$36*J19</f>
        <v>3.1959481343113163E-9</v>
      </c>
      <c r="M19" s="17">
        <f>$B$43</f>
        <v>3.4013605442176874E-3</v>
      </c>
      <c r="N19" s="19">
        <f>$M$36/C19</f>
        <v>1.778279410038925</v>
      </c>
      <c r="O19" s="17">
        <f>M19*N19</f>
        <v>6.0485694219011062E-3</v>
      </c>
      <c r="P19" s="19">
        <f>$M$36*$M$37 / (C19^2)</f>
        <v>4.30470457927369E-4</v>
      </c>
      <c r="Q19" s="17">
        <f>M19*P19</f>
        <v>1.464185231045473E-6</v>
      </c>
      <c r="R19" s="18">
        <f>C19+E19-D19-I19-(2*K19)-O19-(2*Q19)</f>
        <v>2.4701079543275217E-2</v>
      </c>
      <c r="S19" s="25">
        <f>C19+E19</f>
        <v>3.6927899503163233E-2</v>
      </c>
      <c r="T19" s="17">
        <f>D19+I19+(2*K19)+O19+(2*Q19)</f>
        <v>1.2226819959888016E-2</v>
      </c>
    </row>
    <row r="20" spans="2:20">
      <c r="B20" s="27">
        <f>B19+0.1</f>
        <v>6.6999999999999993</v>
      </c>
      <c r="C20" s="25">
        <f>10^-B20</f>
        <v>1.9952623149688798E-7</v>
      </c>
      <c r="D20" s="25">
        <f>10^-14/C20</f>
        <v>5.0118723362727223E-8</v>
      </c>
      <c r="E20" s="17">
        <f>$S$37</f>
        <v>3.6927648314520084E-2</v>
      </c>
      <c r="F20" s="17">
        <f>(C20^2)/(C20^2 + C20*$F$36+$F$36*$F$37)</f>
        <v>0.6400648496991812</v>
      </c>
      <c r="G20" s="17">
        <f>$S$36*F20</f>
        <v>1.2801296993983625E-2</v>
      </c>
      <c r="H20" s="17">
        <f>(C20*$F$36)/(C20^2 + C20*$F$36+$F$36*$F$37)</f>
        <v>0.35993491578759867</v>
      </c>
      <c r="I20" s="17">
        <f>$S$36*H20</f>
        <v>7.1986983157519739E-3</v>
      </c>
      <c r="J20" s="17">
        <f>$F$36*$F$37 / (C20^2+C20*$F$36+$F$36*$F$37)</f>
        <v>2.3451322014828737E-7</v>
      </c>
      <c r="K20" s="17">
        <f>$S$36*J20</f>
        <v>4.6902644029657478E-9</v>
      </c>
      <c r="M20" s="17">
        <f>$B$43</f>
        <v>3.4013605442176874E-3</v>
      </c>
      <c r="N20" s="19">
        <f>$M$36/C20</f>
        <v>2.2387211385683403</v>
      </c>
      <c r="O20" s="17">
        <f>M20*N20</f>
        <v>7.6146977502324509E-3</v>
      </c>
      <c r="P20" s="19">
        <f>$M$36*$M$37 / (C20^2)</f>
        <v>6.8224969832470395E-4</v>
      </c>
      <c r="Q20" s="17">
        <f>M20*P20</f>
        <v>2.3205772051860682E-6</v>
      </c>
      <c r="R20" s="18">
        <f>C20+E20-D20-I20-(2*K20)-O20-(2*Q20)</f>
        <v>2.2109751121104609E-2</v>
      </c>
      <c r="S20" s="25">
        <f>C20+E20</f>
        <v>3.6927847840751579E-2</v>
      </c>
      <c r="T20" s="17">
        <f>D20+I20+(2*K20)+O20+(2*Q20)</f>
        <v>1.4818096719646965E-2</v>
      </c>
    </row>
    <row r="21" spans="2:20">
      <c r="B21" s="27">
        <f>B20+0.1</f>
        <v>6.7999999999999989</v>
      </c>
      <c r="C21" s="25">
        <f>10^-B21</f>
        <v>1.5848931924611151E-7</v>
      </c>
      <c r="D21" s="25">
        <f>10^-14/C21</f>
        <v>6.3095734448019257E-8</v>
      </c>
      <c r="E21" s="17">
        <f>$S$37</f>
        <v>3.6927648314520084E-2</v>
      </c>
      <c r="F21" s="17">
        <f>(C21^2)/(C21^2 + C21*$F$36+$F$36*$F$37)</f>
        <v>0.58549847960674817</v>
      </c>
      <c r="G21" s="17">
        <f>$S$36*F21</f>
        <v>1.1709969592134963E-2</v>
      </c>
      <c r="H21" s="17">
        <f>(C21*$F$36)/(C21^2 + C21*$F$36+$F$36*$F$37)</f>
        <v>0.41450118040091866</v>
      </c>
      <c r="I21" s="17">
        <f>$S$36*H21</f>
        <v>8.290023608018374E-3</v>
      </c>
      <c r="J21" s="17">
        <f>$F$36*$F$37 / (C21^2+C21*$F$36+$F$36*$F$37)</f>
        <v>3.3999233329056953E-7</v>
      </c>
      <c r="K21" s="17">
        <f>$S$36*J21</f>
        <v>6.7998466658113907E-9</v>
      </c>
      <c r="M21" s="17">
        <f>$B$43</f>
        <v>3.4013605442176874E-3</v>
      </c>
      <c r="N21" s="19">
        <f>$M$36/C21</f>
        <v>2.8183829312644519</v>
      </c>
      <c r="O21" s="17">
        <f>M21*N21</f>
        <v>9.5863365008994981E-3</v>
      </c>
      <c r="P21" s="19">
        <f>$M$36*$M$37 / (C21^2)</f>
        <v>1.0812929024334695E-3</v>
      </c>
      <c r="Q21" s="17">
        <f>M21*P21</f>
        <v>3.6778670150798285E-6</v>
      </c>
      <c r="R21" s="18">
        <f>C21+E21-D21-I21-(2*K21)-O21-(2*Q21)</f>
        <v>1.9044014265463514E-2</v>
      </c>
      <c r="S21" s="25">
        <f>C21+E21</f>
        <v>3.6927806803839329E-2</v>
      </c>
      <c r="T21" s="17">
        <f>D21+I21+(2*K21)+O21+(2*Q21)</f>
        <v>1.7883792538375812E-2</v>
      </c>
    </row>
    <row r="22" spans="2:20">
      <c r="B22" s="27">
        <f>B21+0.1</f>
        <v>6.8999999999999986</v>
      </c>
      <c r="C22" s="25">
        <f>10^-B22</f>
        <v>1.2589254117941696E-7</v>
      </c>
      <c r="D22" s="25">
        <f>10^-14/C22</f>
        <v>7.9432823472427995E-8</v>
      </c>
      <c r="E22" s="17">
        <f>$S$37</f>
        <v>3.6927648314520084E-2</v>
      </c>
      <c r="F22" s="17">
        <f>(C22^2)/(C22^2 + C22*$F$36+$F$36*$F$37)</f>
        <v>0.52875030658928235</v>
      </c>
      <c r="G22" s="17">
        <f>$S$36*F22</f>
        <v>1.0575006131785648E-2</v>
      </c>
      <c r="H22" s="17">
        <f>(C22*$F$36)/(C22^2 + C22*$F$36+$F$36*$F$37)</f>
        <v>0.47124920678620197</v>
      </c>
      <c r="I22" s="17">
        <f>$S$36*H22</f>
        <v>9.4249841357240387E-3</v>
      </c>
      <c r="J22" s="17">
        <f>$F$36*$F$37 / (C22^2+C22*$F$36+$F$36*$F$37)</f>
        <v>4.8662451570421135E-7</v>
      </c>
      <c r="K22" s="17">
        <f>$S$36*J22</f>
        <v>9.7324903140842271E-9</v>
      </c>
      <c r="M22" s="17">
        <f>$B$43</f>
        <v>3.4013605442176874E-3</v>
      </c>
      <c r="N22" s="19">
        <f>$M$36/C22</f>
        <v>3.5481338923357493</v>
      </c>
      <c r="O22" s="17">
        <f>M22*N22</f>
        <v>1.2068482626992345E-2</v>
      </c>
      <c r="P22" s="19">
        <f>$M$36*$M$37 / (C22^2)</f>
        <v>1.713733760123322E-3</v>
      </c>
      <c r="Q22" s="17">
        <f>M22*P22</f>
        <v>5.8290263949772865E-6</v>
      </c>
      <c r="R22" s="18">
        <f>C22+E22-D22-I22-(2*K22)-O22-(2*Q22)</f>
        <v>1.5422550493750822E-2</v>
      </c>
      <c r="S22" s="25">
        <f>C22+E22</f>
        <v>3.6927774207061261E-2</v>
      </c>
      <c r="T22" s="17">
        <f>D22+I22+(2*K22)+O22+(2*Q22)</f>
        <v>2.1505223713310439E-2</v>
      </c>
    </row>
    <row r="23" spans="2:20">
      <c r="B23" s="27">
        <f>B22+0.1</f>
        <v>6.9999999999999982</v>
      </c>
      <c r="C23" s="25">
        <f>10^-B23</f>
        <v>1.000000000000003E-7</v>
      </c>
      <c r="D23" s="25">
        <f>10^-14/C23</f>
        <v>9.9999999999999704E-8</v>
      </c>
      <c r="E23" s="17">
        <f>$S$37</f>
        <v>3.6927648314520084E-2</v>
      </c>
      <c r="F23" s="17">
        <f>(C23^2)/(C23^2 + C23*$F$36+$F$36*$F$37)</f>
        <v>0.47124911218252846</v>
      </c>
      <c r="G23" s="17">
        <f>$S$36*F23</f>
        <v>9.4249822436505686E-3</v>
      </c>
      <c r="H23" s="17">
        <f>(C23*$F$36)/(C23^2 + C23*$F$36+$F$36*$F$37)</f>
        <v>0.52875020044221099</v>
      </c>
      <c r="I23" s="17">
        <f>$S$36*H23</f>
        <v>1.0575004008844219E-2</v>
      </c>
      <c r="J23" s="17">
        <f>$F$36*$F$37 / (C23^2+C23*$F$36+$F$36*$F$37)</f>
        <v>6.8737526057487228E-7</v>
      </c>
      <c r="K23" s="17">
        <f>$S$36*J23</f>
        <v>1.3747505211497446E-8</v>
      </c>
      <c r="M23" s="17">
        <f>$B$43</f>
        <v>3.4013605442176874E-3</v>
      </c>
      <c r="N23" s="19">
        <f>$M$36/C23</f>
        <v>4.4668359215096194</v>
      </c>
      <c r="O23" s="17">
        <f>M23*N23</f>
        <v>1.5193319460917074E-2</v>
      </c>
      <c r="P23" s="19">
        <f>$M$36*$M$37 / (C23^2)</f>
        <v>2.716084970110234E-3</v>
      </c>
      <c r="Q23" s="17">
        <f>M23*P23</f>
        <v>9.2383842520756269E-6</v>
      </c>
      <c r="R23" s="18">
        <f>C23+E23-D23-I23-(2*K23)-O23-(2*Q23)</f>
        <v>1.1140820581244215E-2</v>
      </c>
      <c r="S23" s="25">
        <f>C23+E23</f>
        <v>3.6927748314520087E-2</v>
      </c>
      <c r="T23" s="17">
        <f>D23+I23+(2*K23)+O23+(2*Q23)</f>
        <v>2.5786927733275868E-2</v>
      </c>
    </row>
    <row r="24" spans="2:20">
      <c r="B24" s="27">
        <f>B23+0.1</f>
        <v>7.0999999999999979</v>
      </c>
      <c r="C24" s="25">
        <f>10^-B24</f>
        <v>7.9432823472428458E-8</v>
      </c>
      <c r="D24" s="25">
        <f>10^-14/C24</f>
        <v>1.2589254117941625E-7</v>
      </c>
      <c r="E24" s="17">
        <f>$S$37</f>
        <v>3.6927648314520084E-2</v>
      </c>
      <c r="F24" s="17">
        <f>(C24^2)/(C24^2 + C24*$F$36+$F$36*$F$37)</f>
        <v>0.41450092414142109</v>
      </c>
      <c r="G24" s="17">
        <f>$S$36*F24</f>
        <v>8.2900184828284228E-3</v>
      </c>
      <c r="H24" s="17">
        <f>(C24*$F$36)/(C24^2 + C24*$F$36+$F$36*$F$37)</f>
        <v>0.58549811763058246</v>
      </c>
      <c r="I24" s="17">
        <f>$S$36*H24</f>
        <v>1.1709962352611649E-2</v>
      </c>
      <c r="J24" s="17">
        <f>$F$36*$F$37 / (C24^2+C24*$F$36+$F$36*$F$37)</f>
        <v>9.582279964956245E-7</v>
      </c>
      <c r="K24" s="17">
        <f>$S$36*J24</f>
        <v>1.9164559929912489E-8</v>
      </c>
      <c r="M24" s="17">
        <f>$B$43</f>
        <v>3.4013605442176874E-3</v>
      </c>
      <c r="N24" s="19">
        <f>$M$36/C24</f>
        <v>5.6234132519034707</v>
      </c>
      <c r="O24" s="17">
        <f>M24*N24</f>
        <v>1.9127255958855345E-2</v>
      </c>
      <c r="P24" s="19">
        <f>$M$36*$M$37 / (C24^2)</f>
        <v>4.3047045792736494E-3</v>
      </c>
      <c r="Q24" s="17">
        <f>M24*P24</f>
        <v>1.464185231045459E-5</v>
      </c>
      <c r="R24" s="18">
        <f>C24+E24-D24-I24-(2*K24)-O24-(2*Q24)</f>
        <v>6.0610615095946152E-3</v>
      </c>
      <c r="S24" s="25">
        <f>C24+E24</f>
        <v>3.6927727747343556E-2</v>
      </c>
      <c r="T24" s="17">
        <f>D24+I24+(2*K24)+O24+(2*Q24)</f>
        <v>3.0866666237748943E-2</v>
      </c>
    </row>
    <row r="25" spans="2:20">
      <c r="B25" s="27">
        <f>B24+0.1</f>
        <v>7.1999999999999975</v>
      </c>
      <c r="C25" s="25">
        <f>10^-B25</f>
        <v>6.3095734448019627E-8</v>
      </c>
      <c r="D25" s="25">
        <f>10^-14/C25</f>
        <v>1.5848931924611059E-7</v>
      </c>
      <c r="E25" s="17">
        <f>$S$37</f>
        <v>3.6927648314520084E-2</v>
      </c>
      <c r="F25" s="17">
        <f>(C25^2)/(C25^2 + C25*$F$36+$F$36*$F$37)</f>
        <v>0.35993452552804045</v>
      </c>
      <c r="G25" s="17">
        <f>$S$36*F25</f>
        <v>7.1986905105608096E-3</v>
      </c>
      <c r="H25" s="17">
        <f>(C25*$F$36)/(C25^2 + C25*$F$36+$F$36*$F$37)</f>
        <v>0.6400641557086395</v>
      </c>
      <c r="I25" s="17">
        <f>$S$36*H25</f>
        <v>1.2801283114172791E-2</v>
      </c>
      <c r="J25" s="17">
        <f>$F$36*$F$37 / (C25^2+C25*$F$36+$F$36*$F$37)</f>
        <v>1.3187633200572845E-6</v>
      </c>
      <c r="K25" s="17">
        <f>$S$36*J25</f>
        <v>2.637526640114569E-8</v>
      </c>
      <c r="M25" s="17">
        <f>$B$43</f>
        <v>3.4013605442176874E-3</v>
      </c>
      <c r="N25" s="19">
        <f>$M$36/C25</f>
        <v>7.0794578438413476</v>
      </c>
      <c r="O25" s="17">
        <f>M25*N25</f>
        <v>2.4079788584494381E-2</v>
      </c>
      <c r="P25" s="19">
        <f>$M$36*$M$37 / (C25^2)</f>
        <v>6.822496983246976E-3</v>
      </c>
      <c r="Q25" s="17">
        <f>M25*P25</f>
        <v>2.3205772051860464E-5</v>
      </c>
      <c r="R25" s="18">
        <f>C25+E25-D25-I25-(2*K25)-O25-(2*Q25)</f>
        <v>1.6927631590744245E-8</v>
      </c>
      <c r="S25" s="25">
        <f>C25+E25</f>
        <v>3.6927711410254534E-2</v>
      </c>
      <c r="T25" s="17">
        <f>D25+I25+(2*K25)+O25+(2*Q25)</f>
        <v>3.6927694482622946E-2</v>
      </c>
    </row>
    <row r="26" spans="2:20">
      <c r="B26" s="27">
        <f>B25+0.1</f>
        <v>7.2999999999999972</v>
      </c>
      <c r="C26" s="25">
        <f>10^-B26</f>
        <v>5.0118723362727521E-8</v>
      </c>
      <c r="D26" s="25">
        <f>10^-14/C26</f>
        <v>1.9952623149688679E-7</v>
      </c>
      <c r="E26" s="17">
        <f>$S$37</f>
        <v>3.6927648314520084E-2</v>
      </c>
      <c r="F26" s="17">
        <f>(C26^2)/(C26^2 + C26*$F$36+$F$36*$F$37)</f>
        <v>0.3087632939860282</v>
      </c>
      <c r="G26" s="17">
        <f>$S$36*F26</f>
        <v>6.1752658797205639E-3</v>
      </c>
      <c r="H26" s="17">
        <f>(C26*$F$36)/(C26^2 + C26*$F$36+$F$36*$F$37)</f>
        <v>0.69123491306050722</v>
      </c>
      <c r="I26" s="17">
        <f>$S$36*H26</f>
        <v>1.3824698261210145E-2</v>
      </c>
      <c r="J26" s="17">
        <f>$F$36*$F$37 / (C26^2+C26*$F$36+$F$36*$F$37)</f>
        <v>1.7929534646665353E-6</v>
      </c>
      <c r="K26" s="17">
        <f>$S$36*J26</f>
        <v>3.5859069293330708E-8</v>
      </c>
      <c r="M26" s="17">
        <f>$B$43</f>
        <v>3.4013605442176874E-3</v>
      </c>
      <c r="N26" s="19">
        <f>$M$36/C26</f>
        <v>8.9125093813374061</v>
      </c>
      <c r="O26" s="17">
        <f>M26*N26</f>
        <v>3.0314657759651045E-2</v>
      </c>
      <c r="P26" s="19">
        <f>$M$36*$M$37 / (C26^2)</f>
        <v>1.0812929024334592E-2</v>
      </c>
      <c r="Q26" s="17">
        <f>M26*P26</f>
        <v>3.6778670150797938E-5</v>
      </c>
      <c r="R26" s="18">
        <f>C26+E26-D26-I26-(2*K26)-O26-(2*Q26)</f>
        <v>-7.2854861722894213E-3</v>
      </c>
      <c r="S26" s="25">
        <f>C26+E26</f>
        <v>3.692769843324345E-2</v>
      </c>
      <c r="T26" s="17">
        <f>D26+I26+(2*K26)+O26+(2*Q26)</f>
        <v>4.4213184605532869E-2</v>
      </c>
    </row>
    <row r="27" spans="2:20">
      <c r="B27" s="27">
        <f>B26+0.1</f>
        <v>7.3999999999999968</v>
      </c>
      <c r="C27" s="25">
        <f>10^-B27</f>
        <v>3.9810717055349994E-8</v>
      </c>
      <c r="D27" s="25">
        <f>10^-14/C27</f>
        <v>2.5118864315095632E-7</v>
      </c>
      <c r="E27" s="17">
        <f>$S$37</f>
        <v>3.6927648314520084E-2</v>
      </c>
      <c r="F27" s="17">
        <f>(C27^2)/(C27^2 + C27*$F$36+$F$36*$F$37)</f>
        <v>0.2618903362358117</v>
      </c>
      <c r="G27" s="17">
        <f>$S$36*F27</f>
        <v>5.2378067247162343E-3</v>
      </c>
      <c r="H27" s="17">
        <f>(C27*$F$36)/(C27^2 + C27*$F$36+$F$36*$F$37)</f>
        <v>0.73810725351011464</v>
      </c>
      <c r="I27" s="17">
        <f>$S$36*H27</f>
        <v>1.4762145070202293E-2</v>
      </c>
      <c r="J27" s="17">
        <f>$F$36*$F$37 / (C27^2+C27*$F$36+$F$36*$F$37)</f>
        <v>2.4102540736181005E-6</v>
      </c>
      <c r="K27" s="17">
        <f>$S$36*J27</f>
        <v>4.8205081472362008E-8</v>
      </c>
      <c r="M27" s="17">
        <f>$B$43</f>
        <v>3.4013605442176874E-3</v>
      </c>
      <c r="N27" s="19">
        <f>$M$36/C27</f>
        <v>11.220184543019563</v>
      </c>
      <c r="O27" s="17">
        <f>M27*N27</f>
        <v>3.8163893003467904E-2</v>
      </c>
      <c r="P27" s="19">
        <f>$M$36*$M$37 / (C27^2)</f>
        <v>1.7137337601233055E-2</v>
      </c>
      <c r="Q27" s="17">
        <f>M27*P27</f>
        <v>5.8290263949772303E-5</v>
      </c>
      <c r="R27" s="18">
        <f>C27+E27-D27-I27-(2*K27)-O27-(2*Q27)</f>
        <v>-1.6115278075138694E-2</v>
      </c>
      <c r="S27" s="25">
        <f>C27+E27</f>
        <v>3.692768812523714E-2</v>
      </c>
      <c r="T27" s="17">
        <f>D27+I27+(2*K27)+O27+(2*Q27)</f>
        <v>5.3042966200375831E-2</v>
      </c>
    </row>
    <row r="28" spans="2:20" ht="16" thickBot="1">
      <c r="B28" s="27">
        <f>B27+0.1</f>
        <v>7.4999999999999964</v>
      </c>
      <c r="C28" s="26">
        <f>10^-B28</f>
        <v>3.1622776601684037E-8</v>
      </c>
      <c r="D28" s="26">
        <f>10^-14/C28</f>
        <v>3.1622776601683548E-7</v>
      </c>
      <c r="E28" s="17">
        <f>$S$37</f>
        <v>3.6927648314520084E-2</v>
      </c>
      <c r="F28" s="17">
        <f>(C28^2)/(C28^2 + C28*$F$36+$F$36*$F$37)</f>
        <v>0.21986969086663941</v>
      </c>
      <c r="G28" s="17">
        <f>$S$36*F28</f>
        <v>4.3973938173327886E-3</v>
      </c>
      <c r="H28" s="17">
        <f>(C28*$F$36)/(C28^2 + C28*$F$36+$F$36*$F$37)</f>
        <v>0.78012710206130143</v>
      </c>
      <c r="I28" s="17">
        <f>$S$36*H28</f>
        <v>1.5602542041226028E-2</v>
      </c>
      <c r="J28" s="17">
        <f>$F$36*$F$37 / (C28^2+C28*$F$36+$F$36*$F$37)</f>
        <v>3.2070720590224317E-6</v>
      </c>
      <c r="K28" s="17">
        <f>$S$36*J28</f>
        <v>6.4141441180448633E-8</v>
      </c>
      <c r="M28" s="17">
        <f>$B$43</f>
        <v>3.4013605442176874E-3</v>
      </c>
      <c r="N28" s="19">
        <f>$M$36/C28</f>
        <v>14.125375446227439</v>
      </c>
      <c r="O28" s="17">
        <f>M28*N28</f>
        <v>4.8045494715059318E-2</v>
      </c>
      <c r="P28" s="19">
        <f>$M$36*$M$37 / (C28^2)</f>
        <v>2.7160849701102083E-2</v>
      </c>
      <c r="Q28" s="17">
        <f>M28*P28</f>
        <v>9.2383842520755391E-5</v>
      </c>
      <c r="R28" s="18">
        <f>C28+E28-D28-I28-(2*K28)-O28-(2*Q28)</f>
        <v>-2.6905569014678551E-2</v>
      </c>
      <c r="S28" s="25">
        <f>C28+E28</f>
        <v>3.6927679937296683E-2</v>
      </c>
      <c r="T28" s="17">
        <f>D28+I28+(2*K28)+O28+(2*Q28)</f>
        <v>6.383324895197523E-2</v>
      </c>
    </row>
    <row r="29" spans="2:20" ht="21" customHeight="1" thickTop="1">
      <c r="B29" s="23" t="s">
        <v>58</v>
      </c>
      <c r="C29" s="23"/>
      <c r="D29" s="23"/>
      <c r="E29" s="23"/>
      <c r="F29" s="23"/>
      <c r="G29" s="23"/>
      <c r="H29" s="23"/>
      <c r="I29" s="23"/>
      <c r="J29" s="23"/>
      <c r="K29" s="23"/>
      <c r="M29" s="24"/>
      <c r="N29" s="24"/>
      <c r="O29" s="24"/>
      <c r="P29" s="24"/>
      <c r="Q29" s="24"/>
      <c r="R29" s="23"/>
    </row>
    <row r="31" spans="2:20" ht="16" thickBot="1">
      <c r="B31" s="22" t="s">
        <v>56</v>
      </c>
      <c r="C31" s="22" t="s">
        <v>55</v>
      </c>
      <c r="D31" s="22" t="s">
        <v>54</v>
      </c>
      <c r="E31" s="22" t="s">
        <v>53</v>
      </c>
      <c r="F31" s="22" t="s">
        <v>21</v>
      </c>
      <c r="G31" s="22" t="s">
        <v>52</v>
      </c>
      <c r="H31" s="22" t="s">
        <v>17</v>
      </c>
      <c r="I31" s="22" t="s">
        <v>51</v>
      </c>
      <c r="J31" s="22" t="s">
        <v>12</v>
      </c>
      <c r="K31" s="22" t="s">
        <v>50</v>
      </c>
      <c r="L31" s="22"/>
      <c r="M31" s="22" t="s">
        <v>49</v>
      </c>
      <c r="N31" s="22" t="s">
        <v>48</v>
      </c>
      <c r="O31" s="22" t="s">
        <v>47</v>
      </c>
      <c r="P31" s="22" t="s">
        <v>46</v>
      </c>
      <c r="Q31" s="22" t="s">
        <v>45</v>
      </c>
      <c r="R31" s="22" t="s">
        <v>44</v>
      </c>
      <c r="S31" s="21" t="s">
        <v>43</v>
      </c>
      <c r="T31" s="21" t="s">
        <v>42</v>
      </c>
    </row>
    <row r="32" spans="2:20" ht="16" thickTop="1">
      <c r="B32" s="20">
        <v>6.8604418560715512</v>
      </c>
      <c r="C32" s="17">
        <f>10^-B32</f>
        <v>1.3789805603800849E-7</v>
      </c>
      <c r="D32" s="17">
        <f>10^-14/C32</f>
        <v>7.2517338440534115E-8</v>
      </c>
      <c r="E32" s="17">
        <f>$S$37</f>
        <v>3.6927648314520084E-2</v>
      </c>
      <c r="F32" s="17">
        <f>(C32^2)/(C32^2 + C32*$F$36+$F$36*$F$37)</f>
        <v>0.55137165951226985</v>
      </c>
      <c r="G32" s="17">
        <f>$S$36*F32</f>
        <v>1.1027433190245397E-2</v>
      </c>
      <c r="H32" s="17">
        <f>(C32*$F$36)/(C32^2 + C32*$F$36+$F$36*$F$37)</f>
        <v>0.44862791755479731</v>
      </c>
      <c r="I32" s="17">
        <f>$S$36*H32</f>
        <v>8.972558351095946E-3</v>
      </c>
      <c r="J32" s="17">
        <f>$F$36*$F$37 / (C32^2+C32*$F$36+$F$36*$F$37)</f>
        <v>4.2293293290551251E-7</v>
      </c>
      <c r="K32" s="17">
        <f>$S$36*J32</f>
        <v>8.4586586581102505E-9</v>
      </c>
      <c r="M32" s="17">
        <f>$B$43</f>
        <v>3.4013605442176874E-3</v>
      </c>
      <c r="N32" s="19">
        <f>$M$36/C32</f>
        <v>3.2392305227844913</v>
      </c>
      <c r="O32" s="17">
        <f>M32*N32</f>
        <v>1.1017790893824802E-2</v>
      </c>
      <c r="P32" s="19">
        <f>$M$36*$M$37 / (C32^2)</f>
        <v>1.4283250878927875E-3</v>
      </c>
      <c r="Q32" s="17">
        <f>M32*P32</f>
        <v>4.8582485982747875E-6</v>
      </c>
      <c r="R32" s="18">
        <f>C32+E32-D32-I32-(2*K32)-O32-(2*Q32)</f>
        <v>1.6927631035803064E-2</v>
      </c>
      <c r="S32" s="17">
        <f>C32+E32</f>
        <v>3.6927786212576121E-2</v>
      </c>
      <c r="T32" s="17">
        <f>D32+I32+(2*K32)+O32+(2*Q32)</f>
        <v>2.0000155176773057E-2</v>
      </c>
    </row>
    <row r="33" spans="1:21" ht="16" thickBot="1">
      <c r="A33" t="s">
        <v>57</v>
      </c>
      <c r="B33" s="22" t="s">
        <v>56</v>
      </c>
      <c r="C33" s="22" t="s">
        <v>55</v>
      </c>
      <c r="D33" s="22" t="s">
        <v>54</v>
      </c>
      <c r="E33" s="22" t="s">
        <v>53</v>
      </c>
      <c r="F33" s="22" t="s">
        <v>21</v>
      </c>
      <c r="G33" s="22" t="s">
        <v>52</v>
      </c>
      <c r="H33" s="22" t="s">
        <v>17</v>
      </c>
      <c r="I33" s="22" t="s">
        <v>51</v>
      </c>
      <c r="J33" s="22" t="s">
        <v>12</v>
      </c>
      <c r="K33" s="22" t="s">
        <v>50</v>
      </c>
      <c r="L33" s="22"/>
      <c r="M33" s="22" t="s">
        <v>49</v>
      </c>
      <c r="N33" s="22" t="s">
        <v>48</v>
      </c>
      <c r="O33" s="22" t="s">
        <v>47</v>
      </c>
      <c r="P33" s="22" t="s">
        <v>46</v>
      </c>
      <c r="Q33" s="22" t="s">
        <v>45</v>
      </c>
      <c r="R33" s="22" t="s">
        <v>44</v>
      </c>
      <c r="S33" s="21" t="s">
        <v>43</v>
      </c>
      <c r="T33" s="21" t="s">
        <v>42</v>
      </c>
    </row>
    <row r="34" spans="1:21" ht="17" thickTop="1" thickBot="1">
      <c r="B34" s="20">
        <v>7.2</v>
      </c>
      <c r="C34" s="17">
        <f>10^-B34</f>
        <v>6.3095734448019177E-8</v>
      </c>
      <c r="D34" s="17">
        <f>10^-14/C34</f>
        <v>1.5848931924611173E-7</v>
      </c>
      <c r="E34" s="13">
        <v>3.6927648314520084E-2</v>
      </c>
      <c r="F34" s="17">
        <f>(C34^2)/(C34^2 + C34*$F$36+$F$36*$F$37)</f>
        <v>0.35993452552803878</v>
      </c>
      <c r="G34" s="17">
        <f>$S$36*F34</f>
        <v>7.1986905105607757E-3</v>
      </c>
      <c r="H34" s="17">
        <f>(C34*$F$36)/(C34^2 + C34*$F$36+$F$36*$F$37)</f>
        <v>0.64006415570864117</v>
      </c>
      <c r="I34" s="17">
        <f>$S$36*H34</f>
        <v>1.2801283114172824E-2</v>
      </c>
      <c r="J34" s="17">
        <f>$F$36*$F$37 / (C34^2+C34*$F$36+$F$36*$F$37)</f>
        <v>1.3187633200572974E-6</v>
      </c>
      <c r="K34" s="17">
        <f>$S$36*J34</f>
        <v>2.6375266401145948E-8</v>
      </c>
      <c r="M34" s="17">
        <f>$B$43</f>
        <v>3.4013605442176874E-3</v>
      </c>
      <c r="N34" s="19">
        <f>$M$36/C34</f>
        <v>7.0794578438413982</v>
      </c>
      <c r="O34" s="17">
        <f>M34*N34</f>
        <v>2.4079788584494555E-2</v>
      </c>
      <c r="P34" s="19">
        <f>$M$36*$M$37 / (C34^2)</f>
        <v>6.8224969832470731E-3</v>
      </c>
      <c r="Q34" s="17">
        <f>M34*P34</f>
        <v>2.3205772051860796E-5</v>
      </c>
      <c r="R34" s="18">
        <f>C34+E34-D34-I34-(2*K34)-O34-(2*Q34)</f>
        <v>1.6927631385382801E-8</v>
      </c>
      <c r="S34" s="17">
        <f>C34+E34</f>
        <v>3.6927711410254534E-2</v>
      </c>
      <c r="T34" s="17">
        <f>D34+I34+(2*K34)+O34+(2*Q34)</f>
        <v>3.6927694482623154E-2</v>
      </c>
    </row>
    <row r="35" spans="1:21" ht="22" thickTop="1" thickBot="1">
      <c r="A35" s="10" t="s">
        <v>41</v>
      </c>
      <c r="B35" s="9"/>
      <c r="C35" s="9"/>
      <c r="D35" s="8"/>
      <c r="E35" s="10" t="s">
        <v>40</v>
      </c>
      <c r="F35" s="9"/>
      <c r="G35" s="9"/>
      <c r="H35" s="9"/>
      <c r="I35" s="9"/>
      <c r="J35" s="9"/>
      <c r="K35" s="8"/>
      <c r="R35" s="10" t="s">
        <v>39</v>
      </c>
      <c r="S35" s="9"/>
      <c r="T35" s="9"/>
      <c r="U35" s="8"/>
    </row>
    <row r="36" spans="1:21" ht="16" thickBot="1">
      <c r="A36" s="7" t="s">
        <v>38</v>
      </c>
      <c r="B36" s="6">
        <f>20*10^-3</f>
        <v>0.02</v>
      </c>
      <c r="C36" s="5" t="s">
        <v>28</v>
      </c>
      <c r="D36" s="5" t="s">
        <v>37</v>
      </c>
      <c r="E36" s="15" t="s">
        <v>35</v>
      </c>
      <c r="F36" s="14">
        <f>10^-6.95</f>
        <v>1.1220184543019621E-7</v>
      </c>
      <c r="G36" s="15" t="s">
        <v>36</v>
      </c>
      <c r="H36" s="15"/>
      <c r="I36" s="15"/>
      <c r="J36" s="15"/>
      <c r="K36" s="15"/>
      <c r="L36" s="15" t="s">
        <v>35</v>
      </c>
      <c r="M36" s="14">
        <f>10^-6.35</f>
        <v>4.4668359215096327E-7</v>
      </c>
      <c r="N36" s="15" t="s">
        <v>34</v>
      </c>
      <c r="O36" s="15"/>
      <c r="P36" s="15"/>
      <c r="Q36" s="15"/>
      <c r="R36" s="15" t="s">
        <v>33</v>
      </c>
      <c r="S36" s="16">
        <f>B36</f>
        <v>0.02</v>
      </c>
      <c r="T36" s="15" t="s">
        <v>28</v>
      </c>
      <c r="U36" s="15"/>
    </row>
    <row r="37" spans="1:21" ht="17" thickTop="1" thickBot="1">
      <c r="A37" s="1"/>
      <c r="B37" s="2"/>
      <c r="C37" s="4"/>
      <c r="D37" s="1"/>
      <c r="E37" s="11" t="s">
        <v>31</v>
      </c>
      <c r="F37" s="14">
        <f>1.3*10^-13</f>
        <v>1.3E-13</v>
      </c>
      <c r="G37" s="11" t="s">
        <v>32</v>
      </c>
      <c r="H37" s="11"/>
      <c r="I37" s="11"/>
      <c r="J37" s="11"/>
      <c r="K37" s="11"/>
      <c r="L37" s="11" t="s">
        <v>31</v>
      </c>
      <c r="M37" s="14">
        <f>1.3*10^-10.33</f>
        <v>6.0805568367335719E-11</v>
      </c>
      <c r="N37" s="11" t="s">
        <v>30</v>
      </c>
      <c r="O37" s="11"/>
      <c r="P37" s="11"/>
      <c r="Q37" s="11"/>
      <c r="R37" s="11" t="s">
        <v>29</v>
      </c>
      <c r="S37" s="13">
        <v>3.6927648314520084E-2</v>
      </c>
      <c r="T37" s="12" t="s">
        <v>28</v>
      </c>
      <c r="U37" s="12">
        <v>0.02</v>
      </c>
    </row>
    <row r="38" spans="1:21" ht="16" thickTop="1">
      <c r="A38" s="1"/>
      <c r="B38" s="2"/>
      <c r="C38" s="4"/>
      <c r="D38" s="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 t="s">
        <v>27</v>
      </c>
      <c r="S38" s="11"/>
      <c r="T38" s="11"/>
      <c r="U38" s="11"/>
    </row>
    <row r="39" spans="1:21" ht="18" customHeight="1" thickBot="1">
      <c r="A39" s="1"/>
      <c r="B39" s="2"/>
      <c r="C39" s="1"/>
      <c r="D39" s="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</row>
    <row r="40" spans="1:21" ht="21" thickBot="1">
      <c r="A40" s="10" t="s">
        <v>26</v>
      </c>
      <c r="B40" s="9"/>
      <c r="C40" s="9"/>
      <c r="D40" s="8"/>
      <c r="E40" s="10" t="s">
        <v>25</v>
      </c>
      <c r="F40" s="9"/>
      <c r="G40" s="9"/>
      <c r="H40" s="9"/>
      <c r="I40" s="9"/>
      <c r="J40" s="9"/>
      <c r="K40" s="8"/>
    </row>
    <row r="41" spans="1:21">
      <c r="A41" s="7" t="s">
        <v>24</v>
      </c>
      <c r="B41" s="6">
        <v>0.1</v>
      </c>
      <c r="C41" t="s">
        <v>23</v>
      </c>
      <c r="D41" s="5" t="s">
        <v>22</v>
      </c>
      <c r="E41" t="s">
        <v>21</v>
      </c>
      <c r="G41" s="3" t="s">
        <v>20</v>
      </c>
      <c r="H41" s="3" t="s">
        <v>10</v>
      </c>
      <c r="I41" t="s">
        <v>6</v>
      </c>
      <c r="J41" t="s">
        <v>8</v>
      </c>
      <c r="K41" t="s">
        <v>7</v>
      </c>
      <c r="L41" t="s">
        <v>6</v>
      </c>
      <c r="M41" t="s">
        <v>3</v>
      </c>
      <c r="N41" t="s">
        <v>15</v>
      </c>
      <c r="O41" t="s">
        <v>3</v>
      </c>
      <c r="P41" t="s">
        <v>2</v>
      </c>
    </row>
    <row r="42" spans="1:21">
      <c r="A42" s="1" t="s">
        <v>19</v>
      </c>
      <c r="B42" s="2">
        <f>1/29.4</f>
        <v>3.4013605442176874E-2</v>
      </c>
      <c r="C42" s="4" t="s">
        <v>18</v>
      </c>
      <c r="D42" s="1"/>
      <c r="E42" t="s">
        <v>17</v>
      </c>
      <c r="G42" s="3" t="s">
        <v>16</v>
      </c>
      <c r="H42" t="s">
        <v>10</v>
      </c>
      <c r="I42" t="s">
        <v>15</v>
      </c>
      <c r="J42" t="s">
        <v>8</v>
      </c>
      <c r="K42" t="s">
        <v>14</v>
      </c>
      <c r="L42" t="s">
        <v>5</v>
      </c>
      <c r="M42" t="s">
        <v>4</v>
      </c>
      <c r="N42" t="s">
        <v>3</v>
      </c>
      <c r="O42" t="s">
        <v>2</v>
      </c>
    </row>
    <row r="43" spans="1:21">
      <c r="A43" s="1"/>
      <c r="B43" s="2">
        <f>B41*B42</f>
        <v>3.4013605442176874E-3</v>
      </c>
      <c r="C43" s="4" t="s">
        <v>13</v>
      </c>
      <c r="D43" s="1"/>
      <c r="E43" t="s">
        <v>12</v>
      </c>
      <c r="G43" s="3" t="s">
        <v>11</v>
      </c>
      <c r="H43" t="s">
        <v>10</v>
      </c>
      <c r="I43" t="s">
        <v>9</v>
      </c>
      <c r="J43" t="s">
        <v>8</v>
      </c>
      <c r="K43" t="s">
        <v>7</v>
      </c>
      <c r="L43" t="s">
        <v>6</v>
      </c>
      <c r="M43" t="s">
        <v>3</v>
      </c>
      <c r="N43" t="s">
        <v>5</v>
      </c>
      <c r="O43" t="s">
        <v>4</v>
      </c>
      <c r="P43" t="s">
        <v>3</v>
      </c>
      <c r="Q43" t="s">
        <v>2</v>
      </c>
    </row>
    <row r="44" spans="1:21">
      <c r="A44" s="1"/>
      <c r="B44" s="2"/>
      <c r="C44" s="1"/>
      <c r="D44" s="1"/>
      <c r="E44" t="s">
        <v>1</v>
      </c>
    </row>
    <row r="45" spans="1:21">
      <c r="E45" t="s">
        <v>0</v>
      </c>
    </row>
  </sheetData>
  <mergeCells count="7">
    <mergeCell ref="B1:L1"/>
    <mergeCell ref="B2:L2"/>
    <mergeCell ref="A35:D35"/>
    <mergeCell ref="E35:K35"/>
    <mergeCell ref="R35:U35"/>
    <mergeCell ref="E40:K40"/>
    <mergeCell ref="A40:D40"/>
  </mergeCells>
  <conditionalFormatting sqref="R34">
    <cfRule type="cellIs" dxfId="5" priority="1" operator="lessThan">
      <formula>0</formula>
    </cfRule>
    <cfRule type="cellIs" dxfId="4" priority="2" operator="greaterThan">
      <formula>0</formula>
    </cfRule>
  </conditionalFormatting>
  <conditionalFormatting sqref="R4:R28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R32">
    <cfRule type="cellIs" dxfId="1" priority="3" operator="lessThan">
      <formula>0</formula>
    </cfRule>
    <cfRule type="cellIs" dxfId="0" priority="4" operator="greaterThan">
      <formula>0</formula>
    </cfRule>
  </conditionalFormatting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Carbonate_Sulfide_Speciation</vt:lpstr>
    </vt:vector>
  </TitlesOfParts>
  <Company>Stanford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Koshlan Mayer-Blackwell</dc:creator>
  <cp:lastModifiedBy>Koshlan Mayer-Blackwell</cp:lastModifiedBy>
  <dcterms:created xsi:type="dcterms:W3CDTF">2013-03-04T07:16:55Z</dcterms:created>
  <dcterms:modified xsi:type="dcterms:W3CDTF">2013-03-04T07:19:10Z</dcterms:modified>
</cp:coreProperties>
</file>