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harts/chart3.xml" ContentType="application/vnd.openxmlformats-officedocument.drawingml.chart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600" yWindow="-21620" windowWidth="27640" windowHeight="16660" tabRatio="500" activeTab="1"/>
  </bookViews>
  <sheets>
    <sheet name="OD Sensor" sheetId="3" r:id="rId1"/>
    <sheet name="Pump" sheetId="4" r:id="rId2"/>
    <sheet name="Heating" sheetId="1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8" i="1"/>
  <c r="B9"/>
  <c r="B10"/>
  <c r="B11"/>
  <c r="B12"/>
  <c r="B13"/>
  <c r="B14"/>
  <c r="B15"/>
  <c r="B16"/>
  <c r="B17"/>
  <c r="B18"/>
  <c r="B19"/>
  <c r="B20"/>
  <c r="B21"/>
  <c r="G11" i="3"/>
  <c r="G4"/>
  <c r="H11"/>
  <c r="I11"/>
  <c r="G10"/>
  <c r="H10"/>
  <c r="I10"/>
  <c r="A10"/>
  <c r="G9"/>
  <c r="H9"/>
  <c r="I9"/>
  <c r="A9"/>
  <c r="G8"/>
  <c r="H8"/>
  <c r="I8"/>
  <c r="A8"/>
  <c r="G7"/>
  <c r="H7"/>
  <c r="I7"/>
  <c r="A7"/>
  <c r="G6"/>
  <c r="H6"/>
  <c r="I6"/>
  <c r="A6"/>
  <c r="G5"/>
  <c r="H5"/>
  <c r="I5"/>
  <c r="A5"/>
  <c r="H4"/>
  <c r="I4"/>
  <c r="N19" i="4"/>
  <c r="N21"/>
  <c r="N14"/>
  <c r="N17"/>
  <c r="N16"/>
  <c r="G8"/>
  <c r="N10"/>
  <c r="N6"/>
  <c r="N5"/>
  <c r="D25"/>
  <c r="G25"/>
  <c r="H25"/>
  <c r="I25"/>
  <c r="J25"/>
  <c r="D24"/>
  <c r="G24"/>
  <c r="H24"/>
  <c r="I24"/>
  <c r="J24"/>
  <c r="D23"/>
  <c r="G23"/>
  <c r="H23"/>
  <c r="I23"/>
  <c r="J23"/>
  <c r="D22"/>
  <c r="G22"/>
  <c r="H22"/>
  <c r="I22"/>
  <c r="J22"/>
  <c r="D21"/>
  <c r="G21"/>
  <c r="H21"/>
  <c r="I21"/>
  <c r="J21"/>
  <c r="D20"/>
  <c r="G20"/>
  <c r="H20"/>
  <c r="I20"/>
  <c r="J20"/>
  <c r="D19"/>
  <c r="G19"/>
  <c r="H19"/>
  <c r="I19"/>
  <c r="J19"/>
  <c r="D18"/>
  <c r="G18"/>
  <c r="H18"/>
  <c r="I18"/>
  <c r="J18"/>
  <c r="D17"/>
  <c r="G17"/>
  <c r="H17"/>
  <c r="I17"/>
  <c r="J17"/>
  <c r="D16"/>
  <c r="G16"/>
  <c r="H16"/>
  <c r="I16"/>
  <c r="J16"/>
  <c r="D15"/>
  <c r="G15"/>
  <c r="H15"/>
  <c r="I15"/>
  <c r="J15"/>
  <c r="D14"/>
  <c r="G14"/>
  <c r="H14"/>
  <c r="I14"/>
  <c r="J14"/>
  <c r="H8"/>
  <c r="H9"/>
  <c r="H10"/>
  <c r="I8"/>
  <c r="I9"/>
  <c r="J8"/>
  <c r="K7"/>
  <c r="G7"/>
  <c r="H7"/>
  <c r="I7"/>
  <c r="J7"/>
  <c r="K6"/>
  <c r="G6"/>
  <c r="H6"/>
  <c r="G5"/>
  <c r="H5"/>
  <c r="C5"/>
  <c r="B5"/>
  <c r="K3"/>
  <c r="J3"/>
</calcChain>
</file>

<file path=xl/sharedStrings.xml><?xml version="1.0" encoding="utf-8"?>
<sst xmlns="http://schemas.openxmlformats.org/spreadsheetml/2006/main" count="78" uniqueCount="64">
  <si>
    <t>When Hz 200</t>
    <phoneticPr fontId="3" type="noConversion"/>
  </si>
  <si>
    <t>ml/hr</t>
    <phoneticPr fontId="3" type="noConversion"/>
  </si>
  <si>
    <t>Pulse Length</t>
    <phoneticPr fontId="3" type="noConversion"/>
  </si>
  <si>
    <t>31 Hz Flow rate</t>
    <phoneticPr fontId="3" type="noConversion"/>
  </si>
  <si>
    <t>flowMax</t>
    <phoneticPr fontId="3" type="noConversion"/>
  </si>
  <si>
    <t>Flowrate</t>
    <phoneticPr fontId="3" type="noConversion"/>
  </si>
  <si>
    <t>FeedingFrequency</t>
    <phoneticPr fontId="3" type="noConversion"/>
  </si>
  <si>
    <t>ms</t>
    <phoneticPr fontId="3" type="noConversion"/>
  </si>
  <si>
    <t>100 Hz Flow rate</t>
    <phoneticPr fontId="3" type="noConversion"/>
  </si>
  <si>
    <t>s</t>
    <phoneticPr fontId="3" type="noConversion"/>
  </si>
  <si>
    <t>Feed Frequency Calculation</t>
    <phoneticPr fontId="3" type="noConversion"/>
  </si>
  <si>
    <t>Pump</t>
    <phoneticPr fontId="3" type="noConversion"/>
  </si>
  <si>
    <t>Settings</t>
    <phoneticPr fontId="3" type="noConversion"/>
  </si>
  <si>
    <t xml:space="preserve">Pump on forward. Flow rate on x1. Dial set to 0. </t>
    <phoneticPr fontId="3" type="noConversion"/>
  </si>
  <si>
    <t>Flow Calculator</t>
    <phoneticPr fontId="3" type="noConversion"/>
  </si>
  <si>
    <t>Volume with aeration</t>
    <phoneticPr fontId="3" type="noConversion"/>
  </si>
  <si>
    <t>ml</t>
    <phoneticPr fontId="3" type="noConversion"/>
  </si>
  <si>
    <t>Input</t>
    <phoneticPr fontId="3" type="noConversion"/>
  </si>
  <si>
    <t>Output</t>
    <phoneticPr fontId="3" type="noConversion"/>
  </si>
  <si>
    <t>Desired Range</t>
    <phoneticPr fontId="3" type="noConversion"/>
  </si>
  <si>
    <t>Low: 5% vol/hr</t>
    <phoneticPr fontId="3" type="noConversion"/>
  </si>
  <si>
    <t>High: 50% vol/hr</t>
    <phoneticPr fontId="3" type="noConversion"/>
  </si>
  <si>
    <t>Hz</t>
    <phoneticPr fontId="3" type="noConversion"/>
  </si>
  <si>
    <t>Flow rate (ml/hr)</t>
    <phoneticPr fontId="3" type="noConversion"/>
  </si>
  <si>
    <t>ml/s</t>
    <phoneticPr fontId="3" type="noConversion"/>
  </si>
  <si>
    <t>Calculated</t>
    <phoneticPr fontId="3" type="noConversion"/>
  </si>
  <si>
    <t>ml/hr</t>
    <phoneticPr fontId="3" type="noConversion"/>
  </si>
  <si>
    <t>Trial 1</t>
    <phoneticPr fontId="3" type="noConversion"/>
  </si>
  <si>
    <t>Trial 2</t>
    <phoneticPr fontId="3" type="noConversion"/>
  </si>
  <si>
    <t>Average</t>
    <phoneticPr fontId="3" type="noConversion"/>
  </si>
  <si>
    <t>200-31</t>
    <phoneticPr fontId="3" type="noConversion"/>
  </si>
  <si>
    <t>ID: 1 mm, Wall: 1 mm, Air Off</t>
    <phoneticPr fontId="3" type="noConversion"/>
  </si>
  <si>
    <t>Trial 1</t>
    <phoneticPr fontId="3" type="noConversion"/>
  </si>
  <si>
    <t>Hz</t>
    <phoneticPr fontId="3" type="noConversion"/>
  </si>
  <si>
    <t>Volume (ml)</t>
    <phoneticPr fontId="3" type="noConversion"/>
  </si>
  <si>
    <t>Time (s)</t>
    <phoneticPr fontId="3" type="noConversion"/>
  </si>
  <si>
    <t>Flow rate (ml/hr)</t>
    <phoneticPr fontId="3" type="noConversion"/>
  </si>
  <si>
    <t>ml/s</t>
    <phoneticPr fontId="3" type="noConversion"/>
  </si>
  <si>
    <t>ml for 10 sec pulse</t>
    <phoneticPr fontId="3" type="noConversion"/>
  </si>
  <si>
    <t>Desired Flow</t>
    <phoneticPr fontId="3" type="noConversion"/>
  </si>
  <si>
    <t>ml/Hr</t>
    <phoneticPr fontId="3" type="noConversion"/>
  </si>
  <si>
    <t>Pulse Size</t>
    <phoneticPr fontId="3" type="noConversion"/>
  </si>
  <si>
    <t>Hz</t>
    <phoneticPr fontId="3" type="noConversion"/>
  </si>
  <si>
    <t>OD Sensor</t>
    <phoneticPr fontId="3" type="noConversion"/>
  </si>
  <si>
    <t>PWM (0-255)</t>
    <phoneticPr fontId="3" type="noConversion"/>
  </si>
  <si>
    <t>Duty Cycle</t>
    <phoneticPr fontId="3" type="noConversion"/>
  </si>
  <si>
    <t>Temperature Reading</t>
    <phoneticPr fontId="3" type="noConversion"/>
  </si>
  <si>
    <t>Water Temperature</t>
    <phoneticPr fontId="3" type="noConversion"/>
  </si>
  <si>
    <t>Dilution</t>
    <phoneticPr fontId="3" type="noConversion"/>
  </si>
  <si>
    <t>OD600 Plate Reader</t>
    <phoneticPr fontId="3" type="noConversion"/>
  </si>
  <si>
    <t>OD600 Plate Reader 1cm</t>
    <phoneticPr fontId="3" type="noConversion"/>
  </si>
  <si>
    <t>Avg</t>
    <phoneticPr fontId="3" type="noConversion"/>
  </si>
  <si>
    <t>Transmittance</t>
    <phoneticPr fontId="3" type="noConversion"/>
  </si>
  <si>
    <t>Evolvinator OD</t>
    <phoneticPr fontId="3" type="noConversion"/>
  </si>
  <si>
    <t>Evolvinator Photodiode Reading</t>
    <phoneticPr fontId="3" type="noConversion"/>
  </si>
  <si>
    <t>None</t>
    <phoneticPr fontId="3" type="noConversion"/>
  </si>
  <si>
    <t>Mixing/Air?</t>
    <phoneticPr fontId="3" type="noConversion"/>
  </si>
  <si>
    <t>30mL</t>
    <phoneticPr fontId="3" type="noConversion"/>
  </si>
  <si>
    <t>Volume</t>
    <phoneticPr fontId="3" type="noConversion"/>
  </si>
  <si>
    <t>15V 1A wall wart</t>
    <phoneticPr fontId="3" type="noConversion"/>
  </si>
  <si>
    <t>Power supply</t>
    <phoneticPr fontId="3" type="noConversion"/>
  </si>
  <si>
    <t>4 20 ohm resitors</t>
    <phoneticPr fontId="3" type="noConversion"/>
  </si>
  <si>
    <t>Heating elements</t>
    <phoneticPr fontId="3" type="noConversion"/>
  </si>
  <si>
    <t>Heating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</si>
</sst>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"/>
  </numFmts>
  <fonts count="4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NumberFormat="1" applyFont="1"/>
    <xf numFmtId="0" fontId="1" fillId="0" borderId="0" xfId="0" applyFont="1"/>
    <xf numFmtId="165" fontId="0" fillId="0" borderId="0" xfId="0" applyNumberFormat="1"/>
    <xf numFmtId="0" fontId="0" fillId="0" borderId="0" xfId="0" applyAlignme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Evolvinator OD vs OD600 1cm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0495307755648191"/>
                  <c:y val="0.246624705351322"/>
                </c:manualLayout>
              </c:layout>
              <c:numFmt formatCode="General" sourceLinked="0"/>
            </c:trendlineLbl>
          </c:trendline>
          <c:xVal>
            <c:numRef>
              <c:f>'OD Sensor'!$I$4:$I$9</c:f>
              <c:numCache>
                <c:formatCode>General</c:formatCode>
                <c:ptCount val="6"/>
                <c:pt idx="0">
                  <c:v>0.0</c:v>
                </c:pt>
                <c:pt idx="1">
                  <c:v>0.0205462952903919</c:v>
                </c:pt>
                <c:pt idx="2">
                  <c:v>0.0440400966818582</c:v>
                </c:pt>
                <c:pt idx="3">
                  <c:v>0.0882178947125164</c:v>
                </c:pt>
                <c:pt idx="4">
                  <c:v>0.169381367828108</c:v>
                </c:pt>
                <c:pt idx="5">
                  <c:v>0.320434311642935</c:v>
                </c:pt>
              </c:numCache>
            </c:numRef>
          </c:xVal>
          <c:yVal>
            <c:numRef>
              <c:f>'OD Sensor'!$C$4:$C$9</c:f>
              <c:numCache>
                <c:formatCode>General</c:formatCode>
                <c:ptCount val="6"/>
                <c:pt idx="0">
                  <c:v>0.000271857150208408</c:v>
                </c:pt>
                <c:pt idx="1">
                  <c:v>0.0329482323882056</c:v>
                </c:pt>
                <c:pt idx="2">
                  <c:v>0.0492864200072042</c:v>
                </c:pt>
                <c:pt idx="3">
                  <c:v>0.0944415684660114</c:v>
                </c:pt>
                <c:pt idx="4">
                  <c:v>0.168285030618021</c:v>
                </c:pt>
                <c:pt idx="5">
                  <c:v>0.323304842278598</c:v>
                </c:pt>
              </c:numCache>
            </c:numRef>
          </c:yVal>
        </c:ser>
        <c:axId val="529168056"/>
        <c:axId val="555838008"/>
      </c:scatterChart>
      <c:valAx>
        <c:axId val="529168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Evolvinator OD</a:t>
                </a:r>
              </a:p>
            </c:rich>
          </c:tx>
          <c:layout/>
        </c:title>
        <c:numFmt formatCode="General" sourceLinked="1"/>
        <c:tickLblPos val="nextTo"/>
        <c:crossAx val="555838008"/>
        <c:crosses val="autoZero"/>
        <c:crossBetween val="midCat"/>
      </c:valAx>
      <c:valAx>
        <c:axId val="555838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OD600 1cm</a:t>
                </a:r>
              </a:p>
            </c:rich>
          </c:tx>
          <c:layout/>
        </c:title>
        <c:numFmt formatCode="General" sourceLinked="1"/>
        <c:tickLblPos val="nextTo"/>
        <c:crossAx val="529168056"/>
        <c:crosses val="autoZero"/>
        <c:crossBetween val="midCat"/>
      </c:valAx>
    </c:plotArea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ID: 1 mm, Wall: 1 mm, Air Off</a:t>
            </a:r>
            <a:endParaRPr lang="en-US" baseline="0"/>
          </a:p>
        </c:rich>
      </c:tx>
      <c:layout/>
    </c:title>
    <c:plotArea>
      <c:layout>
        <c:manualLayout>
          <c:layoutTarget val="inner"/>
          <c:xMode val="edge"/>
          <c:yMode val="edge"/>
          <c:x val="0.0889590060235276"/>
          <c:y val="0.119565671303867"/>
          <c:w val="0.855046167790177"/>
          <c:h val="0.761001735805389"/>
        </c:manualLayout>
      </c:layout>
      <c:scatterChart>
        <c:scatterStyle val="lineMarker"/>
        <c:ser>
          <c:idx val="0"/>
          <c:order val="0"/>
          <c:tx>
            <c:strRef>
              <c:f>Pump!$B$12</c:f>
              <c:strCache>
                <c:ptCount val="1"/>
                <c:pt idx="0">
                  <c:v>Trial 1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04195374015748"/>
                  <c:y val="0.0286143676484884"/>
                </c:manualLayout>
              </c:layout>
              <c:numFmt formatCode="General" sourceLinked="0"/>
            </c:trendlineLbl>
          </c:trendline>
          <c:xVal>
            <c:numRef>
              <c:f>Pump!$A$14:$A$25</c:f>
              <c:numCache>
                <c:formatCode>General</c:formatCode>
                <c:ptCount val="12"/>
                <c:pt idx="0">
                  <c:v>200.0</c:v>
                </c:pt>
                <c:pt idx="1">
                  <c:v>175.0</c:v>
                </c:pt>
                <c:pt idx="2">
                  <c:v>150.0</c:v>
                </c:pt>
                <c:pt idx="3">
                  <c:v>125.0</c:v>
                </c:pt>
                <c:pt idx="4">
                  <c:v>100.0</c:v>
                </c:pt>
                <c:pt idx="5">
                  <c:v>90.0</c:v>
                </c:pt>
                <c:pt idx="6">
                  <c:v>80.0</c:v>
                </c:pt>
                <c:pt idx="7">
                  <c:v>70.0</c:v>
                </c:pt>
                <c:pt idx="8">
                  <c:v>60.0</c:v>
                </c:pt>
                <c:pt idx="9">
                  <c:v>50.0</c:v>
                </c:pt>
                <c:pt idx="10">
                  <c:v>40.0</c:v>
                </c:pt>
                <c:pt idx="11">
                  <c:v>31.0</c:v>
                </c:pt>
              </c:numCache>
            </c:numRef>
          </c:xVal>
          <c:yVal>
            <c:numRef>
              <c:f>Pump!$D$14:$D$25</c:f>
              <c:numCache>
                <c:formatCode>General</c:formatCode>
                <c:ptCount val="12"/>
                <c:pt idx="0">
                  <c:v>134.8314606741573</c:v>
                </c:pt>
                <c:pt idx="1">
                  <c:v>118.4210526315789</c:v>
                </c:pt>
                <c:pt idx="2">
                  <c:v>100.8403361344538</c:v>
                </c:pt>
                <c:pt idx="3">
                  <c:v>84.11214953271028</c:v>
                </c:pt>
                <c:pt idx="4">
                  <c:v>66.29834254143645</c:v>
                </c:pt>
                <c:pt idx="5">
                  <c:v>59.87525987525987</c:v>
                </c:pt>
                <c:pt idx="6">
                  <c:v>53.86533665835412</c:v>
                </c:pt>
                <c:pt idx="7">
                  <c:v>45.78696343402225</c:v>
                </c:pt>
                <c:pt idx="8">
                  <c:v>39.77900552486187</c:v>
                </c:pt>
                <c:pt idx="9">
                  <c:v>32.87671232876712</c:v>
                </c:pt>
                <c:pt idx="10">
                  <c:v>26.66666666666666</c:v>
                </c:pt>
                <c:pt idx="11">
                  <c:v>19.79835013748854</c:v>
                </c:pt>
              </c:numCache>
            </c:numRef>
          </c:yVal>
        </c:ser>
        <c:ser>
          <c:idx val="1"/>
          <c:order val="1"/>
          <c:tx>
            <c:strRef>
              <c:f>Pump!$E$12</c:f>
              <c:strCache>
                <c:ptCount val="1"/>
                <c:pt idx="0">
                  <c:v>Trial 2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583490058347023"/>
                  <c:y val="0.184573897289388"/>
                </c:manualLayout>
              </c:layout>
              <c:numFmt formatCode="General" sourceLinked="0"/>
            </c:trendlineLbl>
          </c:trendline>
          <c:xVal>
            <c:numRef>
              <c:f>Pump!$A$14:$A$25</c:f>
              <c:numCache>
                <c:formatCode>General</c:formatCode>
                <c:ptCount val="12"/>
                <c:pt idx="0">
                  <c:v>200.0</c:v>
                </c:pt>
                <c:pt idx="1">
                  <c:v>175.0</c:v>
                </c:pt>
                <c:pt idx="2">
                  <c:v>150.0</c:v>
                </c:pt>
                <c:pt idx="3">
                  <c:v>125.0</c:v>
                </c:pt>
                <c:pt idx="4">
                  <c:v>100.0</c:v>
                </c:pt>
                <c:pt idx="5">
                  <c:v>90.0</c:v>
                </c:pt>
                <c:pt idx="6">
                  <c:v>80.0</c:v>
                </c:pt>
                <c:pt idx="7">
                  <c:v>70.0</c:v>
                </c:pt>
                <c:pt idx="8">
                  <c:v>60.0</c:v>
                </c:pt>
                <c:pt idx="9">
                  <c:v>50.0</c:v>
                </c:pt>
                <c:pt idx="10">
                  <c:v>40.0</c:v>
                </c:pt>
                <c:pt idx="11">
                  <c:v>31.0</c:v>
                </c:pt>
              </c:numCache>
            </c:numRef>
          </c:xVal>
          <c:yVal>
            <c:numRef>
              <c:f>Pump!$G$14:$G$25</c:f>
              <c:numCache>
                <c:formatCode>General</c:formatCode>
                <c:ptCount val="12"/>
                <c:pt idx="0">
                  <c:v>131.7073170731707</c:v>
                </c:pt>
                <c:pt idx="1">
                  <c:v>117.6470588235294</c:v>
                </c:pt>
                <c:pt idx="2">
                  <c:v>102.1276595744681</c:v>
                </c:pt>
                <c:pt idx="3">
                  <c:v>82.00455580865604</c:v>
                </c:pt>
                <c:pt idx="4">
                  <c:v>64.57399103139014</c:v>
                </c:pt>
                <c:pt idx="5">
                  <c:v>58.53658536585366</c:v>
                </c:pt>
                <c:pt idx="6">
                  <c:v>51.24555160142349</c:v>
                </c:pt>
                <c:pt idx="7">
                  <c:v>45.28301886792453</c:v>
                </c:pt>
                <c:pt idx="8">
                  <c:v>39.18367346938776</c:v>
                </c:pt>
                <c:pt idx="9">
                  <c:v>32.77693474962064</c:v>
                </c:pt>
                <c:pt idx="10">
                  <c:v>27.51592356687898</c:v>
                </c:pt>
                <c:pt idx="11">
                  <c:v>19.48579161028417</c:v>
                </c:pt>
              </c:numCache>
            </c:numRef>
          </c:yVal>
        </c:ser>
        <c:ser>
          <c:idx val="2"/>
          <c:order val="2"/>
          <c:tx>
            <c:strRef>
              <c:f>Pump!$H$13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94415737095363"/>
                  <c:y val="0.012158063575386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0" baseline="0"/>
                      <a:t>y = 0.6749x - 1.0171
R² = 0.99962</a:t>
                    </a:r>
                    <a:endParaRPr lang="en-US" b="0"/>
                  </a:p>
                </c:rich>
              </c:tx>
              <c:numFmt formatCode="General" sourceLinked="0"/>
            </c:trendlineLbl>
          </c:trendline>
          <c:xVal>
            <c:numRef>
              <c:f>Pump!$A$14:$A$25</c:f>
              <c:numCache>
                <c:formatCode>General</c:formatCode>
                <c:ptCount val="12"/>
                <c:pt idx="0">
                  <c:v>200.0</c:v>
                </c:pt>
                <c:pt idx="1">
                  <c:v>175.0</c:v>
                </c:pt>
                <c:pt idx="2">
                  <c:v>150.0</c:v>
                </c:pt>
                <c:pt idx="3">
                  <c:v>125.0</c:v>
                </c:pt>
                <c:pt idx="4">
                  <c:v>100.0</c:v>
                </c:pt>
                <c:pt idx="5">
                  <c:v>90.0</c:v>
                </c:pt>
                <c:pt idx="6">
                  <c:v>80.0</c:v>
                </c:pt>
                <c:pt idx="7">
                  <c:v>70.0</c:v>
                </c:pt>
                <c:pt idx="8">
                  <c:v>60.0</c:v>
                </c:pt>
                <c:pt idx="9">
                  <c:v>50.0</c:v>
                </c:pt>
                <c:pt idx="10">
                  <c:v>40.0</c:v>
                </c:pt>
                <c:pt idx="11">
                  <c:v>31.0</c:v>
                </c:pt>
              </c:numCache>
            </c:numRef>
          </c:xVal>
          <c:yVal>
            <c:numRef>
              <c:f>Pump!$H$14:$H$25</c:f>
              <c:numCache>
                <c:formatCode>General</c:formatCode>
                <c:ptCount val="12"/>
                <c:pt idx="0">
                  <c:v>133.269388873664</c:v>
                </c:pt>
                <c:pt idx="1">
                  <c:v>118.0340557275542</c:v>
                </c:pt>
                <c:pt idx="2">
                  <c:v>101.4839978544609</c:v>
                </c:pt>
                <c:pt idx="3">
                  <c:v>83.05835267068315</c:v>
                </c:pt>
                <c:pt idx="4">
                  <c:v>65.4361667864133</c:v>
                </c:pt>
                <c:pt idx="5">
                  <c:v>59.20592262055676</c:v>
                </c:pt>
                <c:pt idx="6">
                  <c:v>52.5554441298888</c:v>
                </c:pt>
                <c:pt idx="7">
                  <c:v>45.5349911509734</c:v>
                </c:pt>
                <c:pt idx="8">
                  <c:v>39.48133949712481</c:v>
                </c:pt>
                <c:pt idx="9">
                  <c:v>32.82682353919388</c:v>
                </c:pt>
                <c:pt idx="10">
                  <c:v>27.09129511677282</c:v>
                </c:pt>
                <c:pt idx="11">
                  <c:v>19.64207087388635</c:v>
                </c:pt>
              </c:numCache>
            </c:numRef>
          </c:yVal>
        </c:ser>
        <c:ser>
          <c:idx val="3"/>
          <c:order val="3"/>
          <c:tx>
            <c:v>"200-40"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7208022074164"/>
                  <c:y val="-0.065061748860339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 baseline="0"/>
                      <a:t>y = 0.6757x - 1.1148
R² = 0.9995</a:t>
                    </a:r>
                    <a:endParaRPr lang="en-US" b="1"/>
                  </a:p>
                </c:rich>
              </c:tx>
              <c:numFmt formatCode="General" sourceLinked="0"/>
            </c:trendlineLbl>
          </c:trendline>
          <c:xVal>
            <c:numRef>
              <c:f>Pump!$A$14:$A$25</c:f>
              <c:numCache>
                <c:formatCode>General</c:formatCode>
                <c:ptCount val="12"/>
                <c:pt idx="0">
                  <c:v>200.0</c:v>
                </c:pt>
                <c:pt idx="1">
                  <c:v>175.0</c:v>
                </c:pt>
                <c:pt idx="2">
                  <c:v>150.0</c:v>
                </c:pt>
                <c:pt idx="3">
                  <c:v>125.0</c:v>
                </c:pt>
                <c:pt idx="4">
                  <c:v>100.0</c:v>
                </c:pt>
                <c:pt idx="5">
                  <c:v>90.0</c:v>
                </c:pt>
                <c:pt idx="6">
                  <c:v>80.0</c:v>
                </c:pt>
                <c:pt idx="7">
                  <c:v>70.0</c:v>
                </c:pt>
                <c:pt idx="8">
                  <c:v>60.0</c:v>
                </c:pt>
                <c:pt idx="9">
                  <c:v>50.0</c:v>
                </c:pt>
                <c:pt idx="10">
                  <c:v>40.0</c:v>
                </c:pt>
                <c:pt idx="11">
                  <c:v>31.0</c:v>
                </c:pt>
              </c:numCache>
            </c:numRef>
          </c:xVal>
          <c:yVal>
            <c:numRef>
              <c:f>Pump!$H$14:$H$24</c:f>
              <c:numCache>
                <c:formatCode>General</c:formatCode>
                <c:ptCount val="11"/>
                <c:pt idx="0">
                  <c:v>133.269388873664</c:v>
                </c:pt>
                <c:pt idx="1">
                  <c:v>118.0340557275542</c:v>
                </c:pt>
                <c:pt idx="2">
                  <c:v>101.4839978544609</c:v>
                </c:pt>
                <c:pt idx="3">
                  <c:v>83.05835267068315</c:v>
                </c:pt>
                <c:pt idx="4">
                  <c:v>65.4361667864133</c:v>
                </c:pt>
                <c:pt idx="5">
                  <c:v>59.20592262055676</c:v>
                </c:pt>
                <c:pt idx="6">
                  <c:v>52.5554441298888</c:v>
                </c:pt>
                <c:pt idx="7">
                  <c:v>45.5349911509734</c:v>
                </c:pt>
                <c:pt idx="8">
                  <c:v>39.48133949712481</c:v>
                </c:pt>
                <c:pt idx="9">
                  <c:v>32.82682353919388</c:v>
                </c:pt>
                <c:pt idx="10">
                  <c:v>27.09129511677282</c:v>
                </c:pt>
              </c:numCache>
            </c:numRef>
          </c:yVal>
        </c:ser>
        <c:axId val="462098424"/>
        <c:axId val="461932936"/>
      </c:scatterChart>
      <c:valAx>
        <c:axId val="462098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Hz</a:t>
                </a:r>
              </a:p>
            </c:rich>
          </c:tx>
          <c:layout/>
        </c:title>
        <c:numFmt formatCode="General" sourceLinked="1"/>
        <c:tickLblPos val="nextTo"/>
        <c:crossAx val="461932936"/>
        <c:crosses val="autoZero"/>
        <c:crossBetween val="midCat"/>
      </c:valAx>
      <c:valAx>
        <c:axId val="4619329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 (ml/hr)</a:t>
                </a:r>
              </a:p>
            </c:rich>
          </c:tx>
          <c:layout/>
        </c:title>
        <c:numFmt formatCode="General" sourceLinked="1"/>
        <c:tickLblPos val="nextTo"/>
        <c:crossAx val="462098424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Water Temperature to IC Reading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0972138949498782"/>
          <c:y val="0.137366548042705"/>
          <c:w val="0.865341365461847"/>
          <c:h val="0.662363605794827"/>
        </c:manualLayout>
      </c:layout>
      <c:scatterChart>
        <c:scatterStyle val="lineMarker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120744394902444"/>
                  <c:y val="0.00498220640569395"/>
                </c:manualLayout>
              </c:layout>
              <c:numFmt formatCode="General" sourceLinked="0"/>
            </c:trendlineLbl>
          </c:trendline>
          <c:xVal>
            <c:numRef>
              <c:f>Heating!$D$8:$D$21</c:f>
              <c:numCache>
                <c:formatCode>General</c:formatCode>
                <c:ptCount val="14"/>
                <c:pt idx="0">
                  <c:v>27.9</c:v>
                </c:pt>
                <c:pt idx="1">
                  <c:v>28.5</c:v>
                </c:pt>
                <c:pt idx="2">
                  <c:v>32.4</c:v>
                </c:pt>
                <c:pt idx="3">
                  <c:v>32.9</c:v>
                </c:pt>
                <c:pt idx="4">
                  <c:v>33.1</c:v>
                </c:pt>
                <c:pt idx="5">
                  <c:v>37.0</c:v>
                </c:pt>
                <c:pt idx="6">
                  <c:v>37.0</c:v>
                </c:pt>
                <c:pt idx="7">
                  <c:v>37.5</c:v>
                </c:pt>
                <c:pt idx="8">
                  <c:v>37.5</c:v>
                </c:pt>
                <c:pt idx="9">
                  <c:v>39.5</c:v>
                </c:pt>
                <c:pt idx="10">
                  <c:v>40.0</c:v>
                </c:pt>
                <c:pt idx="11">
                  <c:v>40.5</c:v>
                </c:pt>
                <c:pt idx="12">
                  <c:v>42.0</c:v>
                </c:pt>
                <c:pt idx="13">
                  <c:v>42.1</c:v>
                </c:pt>
              </c:numCache>
            </c:numRef>
          </c:xVal>
          <c:yVal>
            <c:numRef>
              <c:f>Heating!$C$8:$C$21</c:f>
              <c:numCache>
                <c:formatCode>General</c:formatCode>
                <c:ptCount val="14"/>
                <c:pt idx="0">
                  <c:v>19.98</c:v>
                </c:pt>
                <c:pt idx="1">
                  <c:v>20.11</c:v>
                </c:pt>
                <c:pt idx="2">
                  <c:v>24.43</c:v>
                </c:pt>
                <c:pt idx="3">
                  <c:v>24.87</c:v>
                </c:pt>
                <c:pt idx="4">
                  <c:v>24.72</c:v>
                </c:pt>
                <c:pt idx="5">
                  <c:v>28.73</c:v>
                </c:pt>
                <c:pt idx="6">
                  <c:v>28.84</c:v>
                </c:pt>
                <c:pt idx="7">
                  <c:v>29.25</c:v>
                </c:pt>
                <c:pt idx="8">
                  <c:v>29.67</c:v>
                </c:pt>
                <c:pt idx="9">
                  <c:v>31.0</c:v>
                </c:pt>
                <c:pt idx="10">
                  <c:v>31.2</c:v>
                </c:pt>
                <c:pt idx="11">
                  <c:v>31.36</c:v>
                </c:pt>
                <c:pt idx="12">
                  <c:v>33.29</c:v>
                </c:pt>
                <c:pt idx="13">
                  <c:v>33.8</c:v>
                </c:pt>
              </c:numCache>
            </c:numRef>
          </c:yVal>
        </c:ser>
        <c:axId val="667983672"/>
        <c:axId val="555407672"/>
      </c:scatterChart>
      <c:valAx>
        <c:axId val="667983672"/>
        <c:scaling>
          <c:orientation val="minMax"/>
          <c:min val="25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Desired Water Temp</a:t>
                </a:r>
              </a:p>
            </c:rich>
          </c:tx>
          <c:layout/>
        </c:title>
        <c:numFmt formatCode="General" sourceLinked="1"/>
        <c:tickLblPos val="nextTo"/>
        <c:crossAx val="555407672"/>
        <c:crosses val="autoZero"/>
        <c:crossBetween val="midCat"/>
      </c:valAx>
      <c:valAx>
        <c:axId val="555407672"/>
        <c:scaling>
          <c:orientation val="minMax"/>
          <c:min val="15.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 Temp</a:t>
                </a:r>
              </a:p>
            </c:rich>
          </c:tx>
          <c:layout/>
        </c:title>
        <c:numFmt formatCode="General" sourceLinked="1"/>
        <c:tickLblPos val="nextTo"/>
        <c:crossAx val="667983672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13</xdr:row>
      <xdr:rowOff>76200</xdr:rowOff>
    </xdr:from>
    <xdr:to>
      <xdr:col>8</xdr:col>
      <xdr:colOff>368300</xdr:colOff>
      <xdr:row>37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25</xdr:row>
      <xdr:rowOff>139700</xdr:rowOff>
    </xdr:from>
    <xdr:to>
      <xdr:col>9</xdr:col>
      <xdr:colOff>457200</xdr:colOff>
      <xdr:row>74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24</xdr:row>
      <xdr:rowOff>127000</xdr:rowOff>
    </xdr:from>
    <xdr:to>
      <xdr:col>4</xdr:col>
      <xdr:colOff>1270000</xdr:colOff>
      <xdr:row>46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11"/>
  <sheetViews>
    <sheetView workbookViewId="0">
      <selection activeCell="E15" sqref="E15"/>
    </sheetView>
  </sheetViews>
  <sheetFormatPr baseColWidth="10" defaultRowHeight="13"/>
  <cols>
    <col min="2" max="2" width="17.42578125" bestFit="1" customWidth="1"/>
    <col min="3" max="3" width="21.28515625" bestFit="1" customWidth="1"/>
    <col min="4" max="6" width="8.7109375" customWidth="1"/>
    <col min="7" max="7" width="6.140625" bestFit="1" customWidth="1"/>
    <col min="8" max="8" width="12.7109375" bestFit="1" customWidth="1"/>
    <col min="9" max="9" width="13.140625" bestFit="1" customWidth="1"/>
    <col min="10" max="10" width="13.85546875" customWidth="1"/>
  </cols>
  <sheetData>
    <row r="1" spans="1:9">
      <c r="A1" s="5" t="s">
        <v>43</v>
      </c>
    </row>
    <row r="2" spans="1:9">
      <c r="D2" s="9" t="s">
        <v>54</v>
      </c>
      <c r="E2" s="7"/>
      <c r="F2" s="7"/>
      <c r="G2" s="7"/>
    </row>
    <row r="3" spans="1:9">
      <c r="A3" s="5" t="s">
        <v>48</v>
      </c>
      <c r="B3" s="5" t="s">
        <v>49</v>
      </c>
      <c r="C3" s="5" t="s">
        <v>50</v>
      </c>
      <c r="D3" s="5">
        <v>1</v>
      </c>
      <c r="E3" s="5">
        <v>2</v>
      </c>
      <c r="F3" s="5">
        <v>3</v>
      </c>
      <c r="G3" s="5" t="s">
        <v>51</v>
      </c>
      <c r="H3" s="5" t="s">
        <v>52</v>
      </c>
      <c r="I3" s="5" t="s">
        <v>53</v>
      </c>
    </row>
    <row r="4" spans="1:9">
      <c r="A4">
        <v>0</v>
      </c>
      <c r="B4">
        <v>3.8300000000000001E-2</v>
      </c>
      <c r="C4">
        <v>2.7185715020840856E-4</v>
      </c>
      <c r="D4">
        <v>663</v>
      </c>
      <c r="E4">
        <v>665</v>
      </c>
      <c r="F4">
        <v>663</v>
      </c>
      <c r="G4" s="6">
        <f>AVERAGE(D4:F4)</f>
        <v>663.66666666666663</v>
      </c>
      <c r="H4">
        <f>G4/$G$4</f>
        <v>1</v>
      </c>
      <c r="I4">
        <f>LOG10(1/H4)</f>
        <v>0</v>
      </c>
    </row>
    <row r="5" spans="1:9">
      <c r="A5">
        <f t="shared" ref="A5:A10" si="0">A6/2</f>
        <v>1.5625E-2</v>
      </c>
      <c r="B5">
        <v>6.3700000000000007E-2</v>
      </c>
      <c r="C5">
        <v>3.2948232388205628E-2</v>
      </c>
      <c r="D5">
        <v>633</v>
      </c>
      <c r="E5">
        <v>633</v>
      </c>
      <c r="F5">
        <v>633</v>
      </c>
      <c r="G5" s="6">
        <f t="shared" ref="G5:G11" si="1">AVERAGE(D5:F5)</f>
        <v>633</v>
      </c>
      <c r="H5">
        <f>G5/$G$4</f>
        <v>0.95379206428930197</v>
      </c>
      <c r="I5">
        <f t="shared" ref="I5:I11" si="2">LOG10(1/H5)</f>
        <v>2.0546295290391921E-2</v>
      </c>
    </row>
    <row r="6" spans="1:9">
      <c r="A6">
        <f t="shared" si="0"/>
        <v>3.125E-2</v>
      </c>
      <c r="B6">
        <v>7.6399999999999996E-2</v>
      </c>
      <c r="C6">
        <v>4.9286420007204235E-2</v>
      </c>
      <c r="D6">
        <v>600</v>
      </c>
      <c r="E6">
        <v>600</v>
      </c>
      <c r="F6">
        <v>599</v>
      </c>
      <c r="G6" s="6">
        <f t="shared" si="1"/>
        <v>599.66666666666663</v>
      </c>
      <c r="H6">
        <f>G6/$G$4</f>
        <v>0.90356604721245604</v>
      </c>
      <c r="I6">
        <f t="shared" si="2"/>
        <v>4.404009668185821E-2</v>
      </c>
    </row>
    <row r="7" spans="1:9">
      <c r="A7">
        <f t="shared" si="0"/>
        <v>6.25E-2</v>
      </c>
      <c r="B7">
        <v>0.1115</v>
      </c>
      <c r="C7">
        <v>9.4441568466011414E-2</v>
      </c>
      <c r="D7">
        <v>541</v>
      </c>
      <c r="E7">
        <v>541</v>
      </c>
      <c r="F7">
        <v>543</v>
      </c>
      <c r="G7" s="6">
        <f t="shared" si="1"/>
        <v>541.66666666666663</v>
      </c>
      <c r="H7">
        <f>G7/$G$4</f>
        <v>0.81617277749874428</v>
      </c>
      <c r="I7">
        <f t="shared" si="2"/>
        <v>8.8217894712516412E-2</v>
      </c>
    </row>
    <row r="8" spans="1:9">
      <c r="A8">
        <f t="shared" si="0"/>
        <v>0.125</v>
      </c>
      <c r="B8">
        <v>0.16889999999999999</v>
      </c>
      <c r="C8">
        <v>0.16828503061802086</v>
      </c>
      <c r="D8">
        <v>450</v>
      </c>
      <c r="E8">
        <v>449</v>
      </c>
      <c r="F8">
        <v>449</v>
      </c>
      <c r="G8" s="6">
        <f t="shared" si="1"/>
        <v>449.33333333333331</v>
      </c>
      <c r="H8">
        <f>G8/$G$4</f>
        <v>0.67704671019588147</v>
      </c>
      <c r="I8">
        <f t="shared" si="2"/>
        <v>0.1693813678281085</v>
      </c>
    </row>
    <row r="9" spans="1:9">
      <c r="A9">
        <f t="shared" si="0"/>
        <v>0.25</v>
      </c>
      <c r="B9">
        <v>0.28939999999999999</v>
      </c>
      <c r="C9">
        <v>0.32330484227859824</v>
      </c>
      <c r="D9">
        <v>318</v>
      </c>
      <c r="E9">
        <v>317</v>
      </c>
      <c r="F9">
        <v>317</v>
      </c>
      <c r="G9" s="6">
        <f t="shared" si="1"/>
        <v>317.33333333333331</v>
      </c>
      <c r="H9">
        <f>G9/$G$4</f>
        <v>0.47815168257157209</v>
      </c>
      <c r="I9">
        <f t="shared" si="2"/>
        <v>0.32043431164293523</v>
      </c>
    </row>
    <row r="10" spans="1:9">
      <c r="A10">
        <f t="shared" si="0"/>
        <v>0.5</v>
      </c>
      <c r="B10">
        <v>0.52729999999999999</v>
      </c>
      <c r="C10">
        <v>0.62935640405495796</v>
      </c>
      <c r="D10">
        <v>153</v>
      </c>
      <c r="E10">
        <v>152</v>
      </c>
      <c r="F10">
        <v>153</v>
      </c>
      <c r="G10" s="6">
        <f t="shared" si="1"/>
        <v>152.66666666666666</v>
      </c>
      <c r="H10">
        <f>G10/$G$4</f>
        <v>0.23003515821195378</v>
      </c>
      <c r="I10">
        <f t="shared" si="2"/>
        <v>0.63820578202354039</v>
      </c>
    </row>
    <row r="11" spans="1:9">
      <c r="A11">
        <v>1</v>
      </c>
      <c r="B11">
        <v>1.0344</v>
      </c>
      <c r="C11">
        <v>1.2817260844954459</v>
      </c>
      <c r="D11">
        <v>31</v>
      </c>
      <c r="E11">
        <v>31</v>
      </c>
      <c r="F11">
        <v>32</v>
      </c>
      <c r="G11" s="6">
        <f t="shared" si="1"/>
        <v>31.333333333333332</v>
      </c>
      <c r="H11">
        <f>G11/$G$4</f>
        <v>4.7212456052235056E-2</v>
      </c>
      <c r="I11">
        <f t="shared" si="2"/>
        <v>1.3259434064277109</v>
      </c>
    </row>
  </sheetData>
  <sheetCalcPr fullCalcOnLoad="1"/>
  <mergeCells count="1">
    <mergeCell ref="D2:G2"/>
  </mergeCells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44"/>
  <sheetViews>
    <sheetView tabSelected="1" workbookViewId="0">
      <selection activeCell="N48" sqref="N48"/>
    </sheetView>
  </sheetViews>
  <sheetFormatPr baseColWidth="10" defaultRowHeight="13"/>
  <cols>
    <col min="1" max="1" width="25.28515625" bestFit="1" customWidth="1"/>
    <col min="2" max="2" width="14.140625" customWidth="1"/>
    <col min="3" max="3" width="13.42578125" customWidth="1"/>
    <col min="4" max="4" width="13.140625" customWidth="1"/>
    <col min="7" max="7" width="13.5703125" bestFit="1" customWidth="1"/>
    <col min="13" max="13" width="22.28515625" bestFit="1" customWidth="1"/>
    <col min="15" max="15" width="22.28515625" bestFit="1" customWidth="1"/>
  </cols>
  <sheetData>
    <row r="1" spans="1:15">
      <c r="A1" s="5" t="s">
        <v>11</v>
      </c>
      <c r="F1" s="5"/>
    </row>
    <row r="2" spans="1:15">
      <c r="A2" t="s">
        <v>12</v>
      </c>
      <c r="B2" t="s">
        <v>13</v>
      </c>
      <c r="F2" s="5" t="s">
        <v>14</v>
      </c>
    </row>
    <row r="3" spans="1:15">
      <c r="A3" t="s">
        <v>15</v>
      </c>
      <c r="B3">
        <v>25</v>
      </c>
      <c r="C3" t="s">
        <v>16</v>
      </c>
      <c r="F3" t="s">
        <v>17</v>
      </c>
      <c r="G3" t="s">
        <v>18</v>
      </c>
      <c r="J3">
        <f>25/J7*60</f>
        <v>201.54833912971424</v>
      </c>
      <c r="K3">
        <f>20/J7*60</f>
        <v>161.23867130377141</v>
      </c>
    </row>
    <row r="4" spans="1:15">
      <c r="A4" t="s">
        <v>19</v>
      </c>
      <c r="B4" t="s">
        <v>20</v>
      </c>
      <c r="C4" t="s">
        <v>21</v>
      </c>
      <c r="F4" t="s">
        <v>22</v>
      </c>
      <c r="G4" t="s">
        <v>23</v>
      </c>
      <c r="H4" t="s">
        <v>24</v>
      </c>
      <c r="M4" s="5" t="s">
        <v>39</v>
      </c>
      <c r="N4">
        <v>7.44</v>
      </c>
      <c r="O4" t="s">
        <v>40</v>
      </c>
    </row>
    <row r="5" spans="1:15">
      <c r="A5" t="s">
        <v>25</v>
      </c>
      <c r="B5">
        <f>B3*0.05</f>
        <v>1.25</v>
      </c>
      <c r="C5">
        <f>B3*0.5</f>
        <v>12.5</v>
      </c>
      <c r="D5" t="s">
        <v>26</v>
      </c>
      <c r="E5" t="s">
        <v>27</v>
      </c>
      <c r="F5">
        <v>200</v>
      </c>
      <c r="G5">
        <f>F5*0.6807-1.1648</f>
        <v>134.97519999999997</v>
      </c>
      <c r="H5">
        <f>G5/3600</f>
        <v>3.7493111111111102E-2</v>
      </c>
      <c r="M5" s="5" t="s">
        <v>41</v>
      </c>
      <c r="N5">
        <f>N4/20</f>
        <v>0.372</v>
      </c>
    </row>
    <row r="6" spans="1:15">
      <c r="E6" t="s">
        <v>28</v>
      </c>
      <c r="F6">
        <v>200</v>
      </c>
      <c r="G6">
        <f>0.6689*F6-0.8498</f>
        <v>132.93020000000001</v>
      </c>
      <c r="H6">
        <f>G6/3600</f>
        <v>3.6925055555555558E-2</v>
      </c>
      <c r="J6">
        <v>1.0029999999999999</v>
      </c>
      <c r="K6">
        <f>(J6*36+1.0171)/0.6749</f>
        <v>55.008297525559335</v>
      </c>
      <c r="M6" s="5" t="s">
        <v>42</v>
      </c>
      <c r="N6">
        <f>(N4*18+1.1148)/0.6757+1</f>
        <v>200.84430960485426</v>
      </c>
    </row>
    <row r="7" spans="1:15">
      <c r="E7" t="s">
        <v>29</v>
      </c>
      <c r="F7">
        <v>200</v>
      </c>
      <c r="G7">
        <f>0.6749*F7-1.0171</f>
        <v>133.96290000000002</v>
      </c>
      <c r="H7">
        <f>G7/3600</f>
        <v>3.7211916666666671E-2</v>
      </c>
      <c r="I7">
        <f>H7*10</f>
        <v>0.37211916666666672</v>
      </c>
      <c r="J7">
        <f>I7*20</f>
        <v>7.4423833333333347</v>
      </c>
      <c r="K7">
        <f>(0.6749*F7-1.0171)/36</f>
        <v>3.7211916666666673</v>
      </c>
    </row>
    <row r="8" spans="1:15">
      <c r="E8" t="s">
        <v>30</v>
      </c>
      <c r="F8">
        <v>100</v>
      </c>
      <c r="G8">
        <f>0.6757*F8-1.1148</f>
        <v>66.455199999999991</v>
      </c>
      <c r="H8">
        <f>G8/3600</f>
        <v>1.8459777777777776E-2</v>
      </c>
      <c r="I8">
        <f>H8*10</f>
        <v>0.18459777777777775</v>
      </c>
      <c r="J8">
        <f>I8*20</f>
        <v>3.691955555555555</v>
      </c>
      <c r="M8" s="5" t="s">
        <v>0</v>
      </c>
    </row>
    <row r="9" spans="1:15">
      <c r="H9">
        <f>20/H8</f>
        <v>1083.4366610889742</v>
      </c>
      <c r="I9">
        <f>N15/I8</f>
        <v>5.9589016359893598</v>
      </c>
      <c r="M9" s="5" t="s">
        <v>39</v>
      </c>
      <c r="N9">
        <v>44</v>
      </c>
      <c r="O9" t="s">
        <v>1</v>
      </c>
    </row>
    <row r="10" spans="1:15">
      <c r="H10">
        <f>H9/60</f>
        <v>18.057277684816238</v>
      </c>
      <c r="M10" s="5" t="s">
        <v>2</v>
      </c>
      <c r="N10">
        <f>N9/G8*3600/20</f>
        <v>119.17803271978718</v>
      </c>
    </row>
    <row r="12" spans="1:15">
      <c r="A12" s="10" t="s">
        <v>31</v>
      </c>
      <c r="B12" s="11" t="s">
        <v>32</v>
      </c>
      <c r="C12" s="11"/>
      <c r="D12" s="11"/>
      <c r="E12" s="11" t="s">
        <v>28</v>
      </c>
      <c r="F12" s="11"/>
      <c r="G12" s="11"/>
      <c r="H12" s="11"/>
      <c r="I12" s="11"/>
      <c r="J12" s="12"/>
    </row>
    <row r="13" spans="1:15">
      <c r="A13" s="13" t="s">
        <v>33</v>
      </c>
      <c r="B13" s="14" t="s">
        <v>34</v>
      </c>
      <c r="C13" s="14" t="s">
        <v>35</v>
      </c>
      <c r="D13" s="14" t="s">
        <v>36</v>
      </c>
      <c r="E13" s="14" t="s">
        <v>34</v>
      </c>
      <c r="F13" s="14" t="s">
        <v>35</v>
      </c>
      <c r="G13" s="14" t="s">
        <v>36</v>
      </c>
      <c r="H13" s="14" t="s">
        <v>29</v>
      </c>
      <c r="I13" s="14" t="s">
        <v>37</v>
      </c>
      <c r="J13" s="15" t="s">
        <v>38</v>
      </c>
      <c r="M13" s="5" t="s">
        <v>10</v>
      </c>
    </row>
    <row r="14" spans="1:15">
      <c r="A14" s="13">
        <v>200</v>
      </c>
      <c r="B14" s="14">
        <v>10</v>
      </c>
      <c r="C14" s="14">
        <v>267</v>
      </c>
      <c r="D14" s="14">
        <f>B14/(C14/3600)</f>
        <v>134.83146067415728</v>
      </c>
      <c r="E14" s="14">
        <v>6</v>
      </c>
      <c r="F14" s="14">
        <v>164</v>
      </c>
      <c r="G14" s="14">
        <f>E14/(F14/3600)</f>
        <v>131.70731707317071</v>
      </c>
      <c r="H14" s="14">
        <f>AVERAGE(D14,G14)</f>
        <v>133.26938887366401</v>
      </c>
      <c r="I14" s="14">
        <f>H14/3600</f>
        <v>3.7019274687128893E-2</v>
      </c>
      <c r="J14" s="15">
        <f>I14*10</f>
        <v>0.37019274687128895</v>
      </c>
      <c r="M14" s="5" t="s">
        <v>3</v>
      </c>
      <c r="N14">
        <f>19.8319</f>
        <v>19.831900000000001</v>
      </c>
      <c r="O14" t="s">
        <v>1</v>
      </c>
    </row>
    <row r="15" spans="1:15">
      <c r="A15" s="13">
        <v>175</v>
      </c>
      <c r="B15" s="14">
        <v>10</v>
      </c>
      <c r="C15" s="14">
        <v>304</v>
      </c>
      <c r="D15" s="14">
        <f>B15/(C15/3600)</f>
        <v>118.42105263157895</v>
      </c>
      <c r="E15" s="14">
        <v>10</v>
      </c>
      <c r="F15" s="14">
        <v>306</v>
      </c>
      <c r="G15" s="14">
        <f>E15/(F15/3600)</f>
        <v>117.64705882352941</v>
      </c>
      <c r="H15" s="14">
        <f>AVERAGE(D15,G15)</f>
        <v>118.03405572755418</v>
      </c>
      <c r="I15" s="14">
        <f>H15/3600</f>
        <v>3.2787237702098383E-2</v>
      </c>
      <c r="J15" s="15">
        <f>I15*10</f>
        <v>0.32787237702098382</v>
      </c>
      <c r="L15" t="s">
        <v>4</v>
      </c>
      <c r="M15" s="5" t="s">
        <v>5</v>
      </c>
      <c r="N15">
        <v>1.1000000000000001</v>
      </c>
      <c r="O15" t="s">
        <v>1</v>
      </c>
    </row>
    <row r="16" spans="1:15">
      <c r="A16" s="13">
        <v>150</v>
      </c>
      <c r="B16" s="14">
        <v>10</v>
      </c>
      <c r="C16" s="14">
        <v>357</v>
      </c>
      <c r="D16" s="14">
        <f>B16/(C16/3600)</f>
        <v>100.84033613445378</v>
      </c>
      <c r="E16" s="14">
        <v>8</v>
      </c>
      <c r="F16" s="14">
        <v>282</v>
      </c>
      <c r="G16" s="14">
        <f>E16/(F16/3600)</f>
        <v>102.12765957446808</v>
      </c>
      <c r="H16" s="14">
        <f>AVERAGE(D16,G16)</f>
        <v>101.48399785446094</v>
      </c>
      <c r="I16" s="14">
        <f>H16/3600</f>
        <v>2.8189999404016928E-2</v>
      </c>
      <c r="J16" s="15">
        <f>I16*10</f>
        <v>0.2818999940401693</v>
      </c>
      <c r="M16" s="5" t="s">
        <v>6</v>
      </c>
      <c r="N16">
        <f>3600/(N15/(N14*(10/3600)))</f>
        <v>180.29</v>
      </c>
      <c r="O16" t="s">
        <v>7</v>
      </c>
    </row>
    <row r="17" spans="1:15">
      <c r="A17" s="13">
        <v>125</v>
      </c>
      <c r="B17" s="14">
        <v>10</v>
      </c>
      <c r="C17" s="14">
        <v>428</v>
      </c>
      <c r="D17" s="14">
        <f>B17/(C17/3600)</f>
        <v>84.112149532710276</v>
      </c>
      <c r="E17" s="14">
        <v>10</v>
      </c>
      <c r="F17" s="14">
        <v>439</v>
      </c>
      <c r="G17" s="14">
        <f>E17/(F17/3600)</f>
        <v>82.004555808656036</v>
      </c>
      <c r="H17" s="14">
        <f>AVERAGE(D17,G17)</f>
        <v>83.058352670683149</v>
      </c>
      <c r="I17" s="14">
        <f>H17/3600</f>
        <v>2.3071764630745319E-2</v>
      </c>
      <c r="J17" s="15">
        <f>I17*10</f>
        <v>0.23071764630745317</v>
      </c>
      <c r="N17">
        <f>N14*10/N15</f>
        <v>180.29</v>
      </c>
    </row>
    <row r="18" spans="1:15">
      <c r="A18" s="13">
        <v>100</v>
      </c>
      <c r="B18" s="14">
        <v>10</v>
      </c>
      <c r="C18" s="14">
        <v>543</v>
      </c>
      <c r="D18" s="14">
        <f>B18/(C18/3600)</f>
        <v>66.298342541436455</v>
      </c>
      <c r="E18" s="14">
        <v>8</v>
      </c>
      <c r="F18" s="14">
        <v>446</v>
      </c>
      <c r="G18" s="14">
        <f>E18/(F18/3600)</f>
        <v>64.573991031390136</v>
      </c>
      <c r="H18" s="14">
        <f>AVERAGE(D18,G18)</f>
        <v>65.436166786413295</v>
      </c>
      <c r="I18" s="14">
        <f>H18/3600</f>
        <v>1.8176712996225915E-2</v>
      </c>
      <c r="J18" s="15">
        <f>I18*10</f>
        <v>0.18176712996225916</v>
      </c>
      <c r="M18" s="5" t="s">
        <v>10</v>
      </c>
    </row>
    <row r="19" spans="1:15">
      <c r="A19" s="13">
        <v>90</v>
      </c>
      <c r="B19" s="14">
        <v>8</v>
      </c>
      <c r="C19" s="14">
        <v>481</v>
      </c>
      <c r="D19" s="14">
        <f>B19/(C19/3600)</f>
        <v>59.875259875259871</v>
      </c>
      <c r="E19" s="14">
        <v>8</v>
      </c>
      <c r="F19" s="14">
        <v>492</v>
      </c>
      <c r="G19" s="14">
        <f>E19/(F19/3600)</f>
        <v>58.536585365853661</v>
      </c>
      <c r="H19" s="14">
        <f>AVERAGE(D19,G19)</f>
        <v>59.205922620556763</v>
      </c>
      <c r="I19" s="14">
        <f>H19/3600</f>
        <v>1.6446089616821324E-2</v>
      </c>
      <c r="J19" s="15">
        <f>I19*10</f>
        <v>0.16446089616821324</v>
      </c>
      <c r="M19" s="5" t="s">
        <v>8</v>
      </c>
      <c r="N19">
        <f>66.4552</f>
        <v>66.455200000000005</v>
      </c>
      <c r="O19" t="s">
        <v>1</v>
      </c>
    </row>
    <row r="20" spans="1:15">
      <c r="A20" s="13">
        <v>80</v>
      </c>
      <c r="B20" s="14">
        <v>6</v>
      </c>
      <c r="C20" s="14">
        <v>401</v>
      </c>
      <c r="D20" s="14">
        <f>B20/(C20/3600)</f>
        <v>53.865336658354117</v>
      </c>
      <c r="E20" s="14">
        <v>8</v>
      </c>
      <c r="F20" s="14">
        <v>562</v>
      </c>
      <c r="G20" s="14">
        <f>E20/(F20/3600)</f>
        <v>51.245551601423486</v>
      </c>
      <c r="H20" s="14">
        <f>AVERAGE(D20,G20)</f>
        <v>52.555444129888798</v>
      </c>
      <c r="I20" s="14">
        <f>H20/3600</f>
        <v>1.4598734480524666E-2</v>
      </c>
      <c r="J20" s="15">
        <f>I20*10</f>
        <v>0.14598734480524667</v>
      </c>
      <c r="L20" t="s">
        <v>4</v>
      </c>
      <c r="M20" s="5" t="s">
        <v>5</v>
      </c>
      <c r="N20">
        <v>1</v>
      </c>
      <c r="O20" t="s">
        <v>1</v>
      </c>
    </row>
    <row r="21" spans="1:15">
      <c r="A21" s="13">
        <v>70</v>
      </c>
      <c r="B21" s="14">
        <v>8</v>
      </c>
      <c r="C21" s="14">
        <v>629</v>
      </c>
      <c r="D21" s="14">
        <f>B21/(C21/3600)</f>
        <v>45.786963434022255</v>
      </c>
      <c r="E21" s="14">
        <v>10</v>
      </c>
      <c r="F21" s="14">
        <v>795</v>
      </c>
      <c r="G21" s="14">
        <f>E21/(F21/3600)</f>
        <v>45.283018867924532</v>
      </c>
      <c r="H21" s="14">
        <f>AVERAGE(D21,G21)</f>
        <v>45.534991150973397</v>
      </c>
      <c r="I21" s="14">
        <f>H21/3600</f>
        <v>1.2648608653048166E-2</v>
      </c>
      <c r="J21" s="15">
        <f>I21*10</f>
        <v>0.12648608653048166</v>
      </c>
      <c r="M21" s="5" t="s">
        <v>6</v>
      </c>
      <c r="N21">
        <f>N19*10/N20</f>
        <v>664.55200000000002</v>
      </c>
      <c r="O21" t="s">
        <v>9</v>
      </c>
    </row>
    <row r="22" spans="1:15">
      <c r="A22" s="13">
        <v>60</v>
      </c>
      <c r="B22" s="14">
        <v>6</v>
      </c>
      <c r="C22" s="14">
        <v>543</v>
      </c>
      <c r="D22" s="14">
        <f>B22/(C22/3600)</f>
        <v>39.779005524861873</v>
      </c>
      <c r="E22" s="14">
        <v>8</v>
      </c>
      <c r="F22" s="14">
        <v>735</v>
      </c>
      <c r="G22" s="14">
        <f>E22/(F22/3600)</f>
        <v>39.183673469387756</v>
      </c>
      <c r="H22" s="14">
        <f>AVERAGE(D22,G22)</f>
        <v>39.481339497124814</v>
      </c>
      <c r="I22" s="14">
        <f>H22/3600</f>
        <v>1.0967038749201337E-2</v>
      </c>
      <c r="J22" s="15">
        <f>I22*10</f>
        <v>0.10967038749201337</v>
      </c>
    </row>
    <row r="23" spans="1:15">
      <c r="A23" s="13">
        <v>50</v>
      </c>
      <c r="B23" s="14">
        <v>6</v>
      </c>
      <c r="C23" s="14">
        <v>657</v>
      </c>
      <c r="D23" s="14">
        <f>B23/(C23/3600)</f>
        <v>32.876712328767127</v>
      </c>
      <c r="E23" s="14">
        <v>6</v>
      </c>
      <c r="F23" s="14">
        <v>659</v>
      </c>
      <c r="G23" s="14">
        <f>E23/(F23/3600)</f>
        <v>32.776934749620636</v>
      </c>
      <c r="H23" s="14">
        <f>AVERAGE(D23,G23)</f>
        <v>32.826823539193882</v>
      </c>
      <c r="I23" s="14">
        <f>H23/3600</f>
        <v>9.1185620942205222E-3</v>
      </c>
      <c r="J23" s="15">
        <f>I23*10</f>
        <v>9.1185620942205226E-2</v>
      </c>
    </row>
    <row r="24" spans="1:15">
      <c r="A24" s="13">
        <v>40</v>
      </c>
      <c r="B24" s="14">
        <v>6</v>
      </c>
      <c r="C24" s="14">
        <v>810</v>
      </c>
      <c r="D24" s="14">
        <f>B24/(C24/3600)</f>
        <v>26.666666666666664</v>
      </c>
      <c r="E24" s="14">
        <v>6</v>
      </c>
      <c r="F24" s="14">
        <v>785</v>
      </c>
      <c r="G24" s="14">
        <f>E24/(F24/3600)</f>
        <v>27.515923566878982</v>
      </c>
      <c r="H24" s="14">
        <f>AVERAGE(D24,G24)</f>
        <v>27.091295116772823</v>
      </c>
      <c r="I24" s="14">
        <f>H24/3600</f>
        <v>7.5253597546591179E-3</v>
      </c>
      <c r="J24" s="15">
        <f>I24*10</f>
        <v>7.5253597546591181E-2</v>
      </c>
    </row>
    <row r="25" spans="1:15">
      <c r="A25" s="16">
        <v>31</v>
      </c>
      <c r="B25" s="17">
        <v>6</v>
      </c>
      <c r="C25" s="17">
        <v>1091</v>
      </c>
      <c r="D25" s="17">
        <f>B25/(C25/3600)</f>
        <v>19.798350137488541</v>
      </c>
      <c r="E25" s="17">
        <v>4</v>
      </c>
      <c r="F25" s="17">
        <v>739</v>
      </c>
      <c r="G25" s="17">
        <f>E25/(F25/3600)</f>
        <v>19.485791610284167</v>
      </c>
      <c r="H25" s="17">
        <f>AVERAGE(D25,G25)</f>
        <v>19.642070873886354</v>
      </c>
      <c r="I25" s="17">
        <f>H25/3600</f>
        <v>5.456130798301765E-3</v>
      </c>
      <c r="J25" s="18">
        <f>I25*10</f>
        <v>5.456130798301765E-2</v>
      </c>
    </row>
    <row r="43" spans="1:3">
      <c r="A43" s="5"/>
    </row>
    <row r="44" spans="1:3">
      <c r="C44" s="3"/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6"/>
  <sheetViews>
    <sheetView workbookViewId="0">
      <selection activeCell="A7" sqref="A7:D7"/>
    </sheetView>
  </sheetViews>
  <sheetFormatPr baseColWidth="10" defaultRowHeight="13"/>
  <cols>
    <col min="1" max="1" width="13.7109375" customWidth="1"/>
    <col min="2" max="2" width="14" customWidth="1"/>
    <col min="3" max="3" width="18.5703125" style="1" bestFit="1" customWidth="1"/>
    <col min="4" max="4" width="17" style="1" bestFit="1" customWidth="1"/>
    <col min="5" max="5" width="16.7109375" customWidth="1"/>
  </cols>
  <sheetData>
    <row r="1" spans="1:5">
      <c r="A1" s="5" t="s">
        <v>63</v>
      </c>
      <c r="B1" s="5"/>
      <c r="C1" s="4"/>
      <c r="E1" s="2"/>
    </row>
    <row r="2" spans="1:5">
      <c r="A2" s="3" t="s">
        <v>62</v>
      </c>
      <c r="B2" s="2" t="s">
        <v>61</v>
      </c>
      <c r="E2" s="2"/>
    </row>
    <row r="3" spans="1:5">
      <c r="A3" t="s">
        <v>60</v>
      </c>
      <c r="B3" s="2" t="s">
        <v>59</v>
      </c>
      <c r="E3" s="2"/>
    </row>
    <row r="4" spans="1:5">
      <c r="A4" t="s">
        <v>58</v>
      </c>
      <c r="B4" s="2" t="s">
        <v>57</v>
      </c>
      <c r="E4" s="2"/>
    </row>
    <row r="5" spans="1:5">
      <c r="A5" t="s">
        <v>56</v>
      </c>
      <c r="B5" t="s">
        <v>55</v>
      </c>
      <c r="E5" s="2"/>
    </row>
    <row r="6" spans="1:5">
      <c r="E6" s="2"/>
    </row>
    <row r="7" spans="1:5">
      <c r="A7" s="4" t="s">
        <v>44</v>
      </c>
      <c r="B7" s="4" t="s">
        <v>45</v>
      </c>
      <c r="C7" s="8" t="s">
        <v>46</v>
      </c>
      <c r="D7" s="8" t="s">
        <v>47</v>
      </c>
      <c r="E7" s="2"/>
    </row>
    <row r="8" spans="1:5">
      <c r="A8" s="1">
        <v>25</v>
      </c>
      <c r="B8" s="2">
        <f>A8/255</f>
        <v>9.8039215686274508E-2</v>
      </c>
      <c r="C8">
        <v>19.98</v>
      </c>
      <c r="D8">
        <v>27.9</v>
      </c>
      <c r="E8" s="2"/>
    </row>
    <row r="9" spans="1:5">
      <c r="A9" s="1">
        <v>25</v>
      </c>
      <c r="B9" s="2">
        <f>A9/255</f>
        <v>9.8039215686274508E-2</v>
      </c>
      <c r="C9">
        <v>20.11</v>
      </c>
      <c r="D9">
        <v>28.5</v>
      </c>
      <c r="E9" s="2"/>
    </row>
    <row r="10" spans="1:5">
      <c r="A10" s="1">
        <v>51</v>
      </c>
      <c r="B10" s="2">
        <f>A10/255</f>
        <v>0.2</v>
      </c>
      <c r="C10">
        <v>24.43</v>
      </c>
      <c r="D10">
        <v>32.4</v>
      </c>
    </row>
    <row r="11" spans="1:5">
      <c r="A11" s="1">
        <v>51</v>
      </c>
      <c r="B11" s="2">
        <f>A11/255</f>
        <v>0.2</v>
      </c>
      <c r="C11">
        <v>24.87</v>
      </c>
      <c r="D11">
        <v>32.9</v>
      </c>
    </row>
    <row r="12" spans="1:5">
      <c r="A12" s="1">
        <v>52</v>
      </c>
      <c r="B12" s="2">
        <f>A12/255</f>
        <v>0.20392156862745098</v>
      </c>
      <c r="C12">
        <v>24.72</v>
      </c>
      <c r="D12">
        <v>33.1</v>
      </c>
    </row>
    <row r="13" spans="1:5">
      <c r="A13" s="1">
        <v>77</v>
      </c>
      <c r="B13" s="2">
        <f>A13/255</f>
        <v>0.30196078431372547</v>
      </c>
      <c r="C13">
        <v>28.73</v>
      </c>
      <c r="D13">
        <v>37</v>
      </c>
    </row>
    <row r="14" spans="1:5">
      <c r="A14" s="1">
        <v>77</v>
      </c>
      <c r="B14" s="2">
        <f>A14/255</f>
        <v>0.30196078431372547</v>
      </c>
      <c r="C14">
        <v>28.84</v>
      </c>
      <c r="D14">
        <v>37</v>
      </c>
    </row>
    <row r="15" spans="1:5">
      <c r="A15" s="1">
        <v>78</v>
      </c>
      <c r="B15" s="2">
        <f>A15/255</f>
        <v>0.30588235294117649</v>
      </c>
      <c r="C15">
        <v>29.25</v>
      </c>
      <c r="D15">
        <v>37.5</v>
      </c>
    </row>
    <row r="16" spans="1:5">
      <c r="A16" s="1">
        <v>90</v>
      </c>
      <c r="B16" s="2">
        <f>A16/255</f>
        <v>0.35294117647058826</v>
      </c>
      <c r="C16">
        <v>29.67</v>
      </c>
      <c r="D16">
        <v>37.5</v>
      </c>
    </row>
    <row r="17" spans="1:4">
      <c r="A17" s="1">
        <v>90</v>
      </c>
      <c r="B17" s="2">
        <f>A17/255</f>
        <v>0.35294117647058826</v>
      </c>
      <c r="C17">
        <v>31</v>
      </c>
      <c r="D17">
        <v>39.5</v>
      </c>
    </row>
    <row r="18" spans="1:4">
      <c r="A18" s="1">
        <v>90</v>
      </c>
      <c r="B18" s="2">
        <f>A18/255</f>
        <v>0.35294117647058826</v>
      </c>
      <c r="C18">
        <v>31.2</v>
      </c>
      <c r="D18">
        <v>40</v>
      </c>
    </row>
    <row r="19" spans="1:4">
      <c r="A19" s="1">
        <v>91</v>
      </c>
      <c r="B19" s="2">
        <f>A19/255</f>
        <v>0.35686274509803922</v>
      </c>
      <c r="C19">
        <v>31.36</v>
      </c>
      <c r="D19">
        <v>40.5</v>
      </c>
    </row>
    <row r="20" spans="1:4">
      <c r="A20" s="1">
        <v>102</v>
      </c>
      <c r="B20" s="2">
        <f>A20/255</f>
        <v>0.4</v>
      </c>
      <c r="C20">
        <v>33.29</v>
      </c>
      <c r="D20">
        <v>42</v>
      </c>
    </row>
    <row r="21" spans="1:4">
      <c r="A21" s="1">
        <v>102</v>
      </c>
      <c r="B21" s="2">
        <f>A21/255</f>
        <v>0.4</v>
      </c>
      <c r="C21">
        <v>33.799999999999997</v>
      </c>
      <c r="D21">
        <v>42.1</v>
      </c>
    </row>
    <row r="26" spans="1:4">
      <c r="A26" s="1"/>
      <c r="B26" s="1"/>
      <c r="C26"/>
      <c r="D26"/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 Sensor</vt:lpstr>
      <vt:lpstr>Pump</vt:lpstr>
      <vt:lpstr>Heating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Sauls</dc:creator>
  <cp:lastModifiedBy>JT Sauls</cp:lastModifiedBy>
  <dcterms:created xsi:type="dcterms:W3CDTF">2011-12-20T02:42:02Z</dcterms:created>
  <dcterms:modified xsi:type="dcterms:W3CDTF">2011-12-20T03:09:11Z</dcterms:modified>
</cp:coreProperties>
</file>