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270" yWindow="135" windowWidth="1897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62" i="1"/>
  <c r="I36"/>
  <c r="J36"/>
  <c r="L37"/>
  <c r="L38"/>
  <c r="L39"/>
  <c r="L40"/>
  <c r="L36"/>
  <c r="M34"/>
  <c r="M35"/>
  <c r="M33"/>
  <c r="G31"/>
  <c r="G32"/>
  <c r="G33"/>
  <c r="G30"/>
  <c r="H33"/>
  <c r="H32"/>
  <c r="H31"/>
  <c r="K31"/>
  <c r="M30"/>
  <c r="M32"/>
  <c r="M31"/>
  <c r="L32"/>
  <c r="L31"/>
  <c r="L30"/>
  <c r="J7"/>
  <c r="J10"/>
  <c r="J16"/>
  <c r="J22"/>
  <c r="E87"/>
  <c r="E86"/>
  <c r="E77"/>
  <c r="E76"/>
  <c r="E63"/>
  <c r="E62"/>
  <c r="M21"/>
  <c r="M20"/>
  <c r="M19"/>
  <c r="M16"/>
  <c r="H81"/>
  <c r="G81"/>
  <c r="H51"/>
  <c r="I47"/>
  <c r="H47"/>
  <c r="F87"/>
  <c r="H87" s="1"/>
  <c r="G77"/>
  <c r="H76" s="1"/>
  <c r="G63"/>
  <c r="H63" s="1"/>
  <c r="G51"/>
  <c r="E55"/>
  <c r="E50"/>
  <c r="D55"/>
  <c r="D50"/>
  <c r="I28"/>
  <c r="E37"/>
  <c r="E27"/>
  <c r="D37"/>
  <c r="D27"/>
  <c r="I22"/>
  <c r="I16"/>
  <c r="I9"/>
  <c r="I7"/>
  <c r="H7"/>
  <c r="G4"/>
  <c r="F23"/>
  <c r="F22"/>
  <c r="F18"/>
  <c r="F15"/>
  <c r="F9"/>
  <c r="F4"/>
  <c r="E23"/>
  <c r="E22"/>
  <c r="E18"/>
  <c r="E15"/>
  <c r="E9"/>
  <c r="E4"/>
  <c r="F30" l="1"/>
  <c r="K10"/>
</calcChain>
</file>

<file path=xl/sharedStrings.xml><?xml version="1.0" encoding="utf-8"?>
<sst xmlns="http://schemas.openxmlformats.org/spreadsheetml/2006/main" count="169" uniqueCount="55">
  <si>
    <t>F</t>
  </si>
  <si>
    <t>ohm</t>
  </si>
  <si>
    <t>R</t>
  </si>
  <si>
    <t>TRIAL</t>
  </si>
  <si>
    <t>#2</t>
  </si>
  <si>
    <t>#3</t>
  </si>
  <si>
    <t>#4</t>
  </si>
  <si>
    <t>OHMS</t>
  </si>
  <si>
    <t>#5</t>
  </si>
  <si>
    <t>#6</t>
  </si>
  <si>
    <t>risetime average</t>
  </si>
  <si>
    <t>falltime average</t>
  </si>
  <si>
    <t>cm/s</t>
  </si>
  <si>
    <t>.5mm=.05cm</t>
  </si>
  <si>
    <t>velocities</t>
  </si>
  <si>
    <t>E=V/300d</t>
  </si>
  <si>
    <t>e.s.u.</t>
  </si>
  <si>
    <t>7.6mm=.76cm</t>
  </si>
  <si>
    <t>plate separation</t>
  </si>
  <si>
    <t>field strength</t>
  </si>
  <si>
    <t>density of oil</t>
  </si>
  <si>
    <t>886 kg/m^3</t>
  </si>
  <si>
    <t>gm/cm^3</t>
  </si>
  <si>
    <t>cm</t>
  </si>
  <si>
    <t>acceleration of g</t>
  </si>
  <si>
    <t>9.8m/s^2</t>
  </si>
  <si>
    <t>cm/s^2</t>
  </si>
  <si>
    <t>potential plate difference</t>
  </si>
  <si>
    <t>V</t>
  </si>
  <si>
    <t>500V</t>
  </si>
  <si>
    <t>viscosity of air</t>
  </si>
  <si>
    <t>barometric pressure</t>
  </si>
  <si>
    <t>8.5E4Pa</t>
  </si>
  <si>
    <t>cm of Hg</t>
  </si>
  <si>
    <t>dyne*s/cm^2</t>
  </si>
  <si>
    <t>term 1</t>
  </si>
  <si>
    <t>a=</t>
  </si>
  <si>
    <t>term 2</t>
  </si>
  <si>
    <t>term 3</t>
  </si>
  <si>
    <t>term 3 second</t>
  </si>
  <si>
    <t>term 3 third</t>
  </si>
  <si>
    <t>q1</t>
  </si>
  <si>
    <t>q2</t>
  </si>
  <si>
    <t>q3</t>
  </si>
  <si>
    <t xml:space="preserve">2TERM 3 </t>
  </si>
  <si>
    <t>3TERM3</t>
  </si>
  <si>
    <t>4TERM3</t>
  </si>
  <si>
    <t>5TERM3</t>
  </si>
  <si>
    <t>6TERM3</t>
  </si>
  <si>
    <t>Q6</t>
  </si>
  <si>
    <t>Q5</t>
  </si>
  <si>
    <t>Q4</t>
  </si>
  <si>
    <t>Q3</t>
  </si>
  <si>
    <t>Q2</t>
  </si>
  <si>
    <t>Q1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</si>
</sst>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Fundamental Charge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My measured values</c:v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/>
              <c:numFmt formatCode="General" sourceLinked="0"/>
            </c:trendlineLbl>
          </c:trendline>
          <c:xVal>
            <c:numRef>
              <c:f>Sheet1!$I$30:$I$33</c:f>
              <c:numCache>
                <c:formatCode>General</c:formatCode>
                <c:ptCount val="4"/>
                <c:pt idx="0">
                  <c:v>2</c:v>
                </c:pt>
                <c:pt idx="1">
                  <c:v>2.3582241635777978</c:v>
                </c:pt>
                <c:pt idx="2">
                  <c:v>3.0370942451979626</c:v>
                </c:pt>
                <c:pt idx="3">
                  <c:v>4.2563901701592295</c:v>
                </c:pt>
              </c:numCache>
            </c:numRef>
          </c:xVal>
          <c:yVal>
            <c:numRef>
              <c:f>Sheet1!$J$30:$J$33</c:f>
              <c:numCache>
                <c:formatCode>General</c:formatCode>
                <c:ptCount val="4"/>
                <c:pt idx="0">
                  <c:v>8.2782716125723232E-10</c:v>
                </c:pt>
                <c:pt idx="1">
                  <c:v>9.761010074714097E-10</c:v>
                </c:pt>
                <c:pt idx="2">
                  <c:v>1.257094553736453E-9</c:v>
                </c:pt>
                <c:pt idx="3">
                  <c:v>1.7617776958830513E-9</c:v>
                </c:pt>
              </c:numCache>
            </c:numRef>
          </c:yVal>
        </c:ser>
        <c:ser>
          <c:idx val="1"/>
          <c:order val="1"/>
          <c:tx>
            <c:v>accepted q value</c:v>
          </c:tx>
          <c:spPr>
            <a:ln w="28575">
              <a:noFill/>
            </a:ln>
          </c:spPr>
          <c:marker>
            <c:symbol val="square"/>
            <c:size val="3"/>
          </c:marker>
          <c:trendline>
            <c:trendlineType val="linear"/>
          </c:trendline>
          <c:xVal>
            <c:numRef>
              <c:f>Sheet1!$K$36:$K$40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Sheet1!$L$36:$L$40</c:f>
              <c:numCache>
                <c:formatCode>General</c:formatCode>
                <c:ptCount val="5"/>
                <c:pt idx="0">
                  <c:v>4.4036000000000002E-10</c:v>
                </c:pt>
                <c:pt idx="1">
                  <c:v>8.8072000000000004E-10</c:v>
                </c:pt>
                <c:pt idx="2">
                  <c:v>1.3210800000000002E-9</c:v>
                </c:pt>
                <c:pt idx="3">
                  <c:v>1.7614400000000001E-9</c:v>
                </c:pt>
                <c:pt idx="4">
                  <c:v>2.2018E-9</c:v>
                </c:pt>
              </c:numCache>
            </c:numRef>
          </c:yVal>
        </c:ser>
        <c:axId val="63675392"/>
        <c:axId val="54369664"/>
      </c:scatterChart>
      <c:valAx>
        <c:axId val="63675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charge</a:t>
                </a:r>
              </a:p>
            </c:rich>
          </c:tx>
          <c:layout/>
        </c:title>
        <c:numFmt formatCode="General" sourceLinked="1"/>
        <c:tickLblPos val="nextTo"/>
        <c:crossAx val="54369664"/>
        <c:crosses val="autoZero"/>
        <c:crossBetween val="midCat"/>
      </c:valAx>
      <c:valAx>
        <c:axId val="543696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charge in e.s.u.</a:t>
                </a:r>
              </a:p>
            </c:rich>
          </c:tx>
          <c:layout/>
        </c:title>
        <c:numFmt formatCode="General" sourceLinked="1"/>
        <c:tickLblPos val="nextTo"/>
        <c:crossAx val="636753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43</xdr:row>
      <xdr:rowOff>19050</xdr:rowOff>
    </xdr:from>
    <xdr:to>
      <xdr:col>12</xdr:col>
      <xdr:colOff>1219200</xdr:colOff>
      <xdr:row>57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8"/>
  <sheetViews>
    <sheetView tabSelected="1" topLeftCell="H40" workbookViewId="0">
      <selection activeCell="K63" sqref="K63"/>
    </sheetView>
  </sheetViews>
  <sheetFormatPr defaultRowHeight="15"/>
  <cols>
    <col min="4" max="4" width="16" bestFit="1" customWidth="1"/>
    <col min="6" max="6" width="12" bestFit="1" customWidth="1"/>
    <col min="7" max="7" width="13.140625" bestFit="1" customWidth="1"/>
    <col min="8" max="8" width="15.5703125" bestFit="1" customWidth="1"/>
    <col min="9" max="9" width="20.28515625" customWidth="1"/>
    <col min="10" max="10" width="15.7109375" bestFit="1" customWidth="1"/>
    <col min="11" max="11" width="24.28515625" bestFit="1" customWidth="1"/>
    <col min="12" max="12" width="13.7109375" bestFit="1" customWidth="1"/>
    <col min="13" max="13" width="19.140625" bestFit="1" customWidth="1"/>
    <col min="16" max="16" width="12" bestFit="1" customWidth="1"/>
  </cols>
  <sheetData>
    <row r="1" spans="1:13">
      <c r="F1" t="s">
        <v>14</v>
      </c>
      <c r="G1" t="s">
        <v>19</v>
      </c>
      <c r="H1" t="s">
        <v>18</v>
      </c>
      <c r="I1" t="s">
        <v>20</v>
      </c>
      <c r="J1" t="s">
        <v>24</v>
      </c>
      <c r="K1" t="s">
        <v>27</v>
      </c>
      <c r="L1" t="s">
        <v>30</v>
      </c>
      <c r="M1" t="s">
        <v>31</v>
      </c>
    </row>
    <row r="2" spans="1:13">
      <c r="A2" t="s">
        <v>2</v>
      </c>
      <c r="B2">
        <v>12.46</v>
      </c>
      <c r="C2" s="1">
        <v>2001000</v>
      </c>
      <c r="D2" t="s">
        <v>1</v>
      </c>
      <c r="E2" s="2">
        <v>0.15902777777777777</v>
      </c>
      <c r="F2" t="s">
        <v>13</v>
      </c>
      <c r="G2" t="s">
        <v>15</v>
      </c>
      <c r="H2" t="s">
        <v>17</v>
      </c>
      <c r="I2" t="s">
        <v>21</v>
      </c>
      <c r="J2" t="s">
        <v>25</v>
      </c>
      <c r="K2" t="s">
        <v>29</v>
      </c>
      <c r="M2" t="s">
        <v>32</v>
      </c>
    </row>
    <row r="3" spans="1:13">
      <c r="A3" t="s">
        <v>2</v>
      </c>
      <c r="B3">
        <v>13.02</v>
      </c>
      <c r="F3" t="s">
        <v>12</v>
      </c>
      <c r="G3" t="s">
        <v>16</v>
      </c>
      <c r="H3" t="s">
        <v>23</v>
      </c>
      <c r="I3" t="s">
        <v>22</v>
      </c>
      <c r="J3" t="s">
        <v>26</v>
      </c>
      <c r="K3" t="s">
        <v>28</v>
      </c>
      <c r="L3" t="s">
        <v>34</v>
      </c>
      <c r="M3" t="s">
        <v>33</v>
      </c>
    </row>
    <row r="4" spans="1:13">
      <c r="A4" t="s">
        <v>2</v>
      </c>
      <c r="B4">
        <v>13.06</v>
      </c>
      <c r="D4" t="s">
        <v>10</v>
      </c>
      <c r="E4">
        <f>AVERAGE(B2:B6)</f>
        <v>13.428000000000001</v>
      </c>
      <c r="F4">
        <f>0.05/13.428</f>
        <v>3.7235627047959487E-3</v>
      </c>
      <c r="G4">
        <f>500/(300*0.76)</f>
        <v>2.192982456140351</v>
      </c>
      <c r="H4">
        <v>0.76</v>
      </c>
      <c r="I4">
        <v>0.88600000000000001</v>
      </c>
      <c r="J4">
        <v>9800</v>
      </c>
      <c r="K4">
        <v>500</v>
      </c>
      <c r="L4">
        <v>1.8000000000000001E-4</v>
      </c>
      <c r="M4">
        <v>63.8</v>
      </c>
    </row>
    <row r="5" spans="1:13">
      <c r="A5" t="s">
        <v>2</v>
      </c>
      <c r="B5">
        <v>14.17</v>
      </c>
    </row>
    <row r="6" spans="1:13">
      <c r="A6" t="s">
        <v>2</v>
      </c>
      <c r="B6">
        <v>14.43</v>
      </c>
      <c r="H6" t="s">
        <v>35</v>
      </c>
      <c r="I6" t="s">
        <v>37</v>
      </c>
      <c r="J6" t="s">
        <v>36</v>
      </c>
    </row>
    <row r="7" spans="1:13">
      <c r="A7" t="s">
        <v>0</v>
      </c>
      <c r="B7">
        <v>14.67</v>
      </c>
      <c r="H7">
        <f>400*PI()*0.76*SQRT((9*0.00018/2)^3/(9800*0.886))</f>
        <v>2.362768029626396E-4</v>
      </c>
      <c r="I7">
        <f>(1+0.000617/(63.8*0.00001725))^(-3/2)</f>
        <v>0.51292112252766731</v>
      </c>
      <c r="J7">
        <f>SQRT(9*0.00018*0.00319/(2*9800*0.886))</f>
        <v>1.725074884055639E-5</v>
      </c>
    </row>
    <row r="8" spans="1:13">
      <c r="A8" t="s">
        <v>0</v>
      </c>
      <c r="B8">
        <v>15.23</v>
      </c>
      <c r="I8" t="s">
        <v>38</v>
      </c>
    </row>
    <row r="9" spans="1:13">
      <c r="A9" t="s">
        <v>0</v>
      </c>
      <c r="B9">
        <v>15.59</v>
      </c>
      <c r="D9" t="s">
        <v>11</v>
      </c>
      <c r="E9">
        <f>AVERAGE(B7:B12)</f>
        <v>15.659999999999998</v>
      </c>
      <c r="F9">
        <f>0.05/15.66</f>
        <v>3.1928480204342275E-3</v>
      </c>
      <c r="I9">
        <f>(F9+F4*SQRT(F9))/500</f>
        <v>6.8064980364627418E-6</v>
      </c>
      <c r="J9" t="s">
        <v>41</v>
      </c>
      <c r="K9" t="s">
        <v>54</v>
      </c>
    </row>
    <row r="10" spans="1:13">
      <c r="A10" t="s">
        <v>0</v>
      </c>
      <c r="B10">
        <v>15.61</v>
      </c>
      <c r="J10">
        <f>H7*I7*I9</f>
        <v>8.2488877431511178E-10</v>
      </c>
      <c r="K10">
        <f>AVERAGE(J10,J16,J22)</f>
        <v>8.2782716125723232E-10</v>
      </c>
    </row>
    <row r="11" spans="1:13">
      <c r="A11" t="s">
        <v>0</v>
      </c>
      <c r="B11">
        <v>15.75</v>
      </c>
    </row>
    <row r="12" spans="1:13">
      <c r="A12" t="s">
        <v>0</v>
      </c>
      <c r="B12">
        <v>17.11</v>
      </c>
    </row>
    <row r="13" spans="1:13">
      <c r="A13" t="s">
        <v>2</v>
      </c>
      <c r="B13">
        <v>12.37</v>
      </c>
      <c r="C13" s="1">
        <v>1990000</v>
      </c>
      <c r="D13" t="s">
        <v>1</v>
      </c>
      <c r="E13" s="2">
        <v>0.16319444444444445</v>
      </c>
    </row>
    <row r="14" spans="1:13">
      <c r="A14" t="s">
        <v>2</v>
      </c>
      <c r="B14">
        <v>12.96</v>
      </c>
    </row>
    <row r="15" spans="1:13">
      <c r="A15" t="s">
        <v>2</v>
      </c>
      <c r="B15">
        <v>13.64</v>
      </c>
      <c r="D15" t="s">
        <v>10</v>
      </c>
      <c r="E15">
        <f>AVERAGE(B13:B16)</f>
        <v>13.35</v>
      </c>
      <c r="F15">
        <f>0.05/13.35</f>
        <v>3.7453183520599256E-3</v>
      </c>
      <c r="I15" t="s">
        <v>39</v>
      </c>
      <c r="J15" t="s">
        <v>42</v>
      </c>
    </row>
    <row r="16" spans="1:13">
      <c r="A16" t="s">
        <v>2</v>
      </c>
      <c r="B16">
        <v>14.43</v>
      </c>
      <c r="I16">
        <f>(F18+F15*SQRT(F18))/500</f>
        <v>7.0197570513839002E-6</v>
      </c>
      <c r="J16">
        <f>H7*I7*I16</f>
        <v>8.5073392500605106E-10</v>
      </c>
      <c r="L16">
        <v>8.2782716125723232E-10</v>
      </c>
      <c r="M16">
        <f>AVERAGE(L16:L18)</f>
        <v>1.0203409074883651E-9</v>
      </c>
    </row>
    <row r="17" spans="1:13">
      <c r="A17" t="s">
        <v>0</v>
      </c>
      <c r="B17">
        <v>14.09</v>
      </c>
      <c r="L17">
        <v>9.761010074714097E-10</v>
      </c>
    </row>
    <row r="18" spans="1:13">
      <c r="A18" t="s">
        <v>0</v>
      </c>
      <c r="B18">
        <v>14.87</v>
      </c>
      <c r="D18" t="s">
        <v>11</v>
      </c>
      <c r="E18">
        <f>AVERAGE(B17:B20)</f>
        <v>15.175000000000001</v>
      </c>
      <c r="F18">
        <f>0.05/15.175</f>
        <v>3.2948929159802307E-3</v>
      </c>
      <c r="L18">
        <v>1.257094553736453E-9</v>
      </c>
    </row>
    <row r="19" spans="1:13">
      <c r="A19" t="s">
        <v>0</v>
      </c>
      <c r="B19">
        <v>15.65</v>
      </c>
      <c r="L19">
        <v>4.5759005144379207E-6</v>
      </c>
      <c r="M19">
        <f>L19/M16</f>
        <v>4484.6780922483986</v>
      </c>
    </row>
    <row r="20" spans="1:13">
      <c r="A20" t="s">
        <v>0</v>
      </c>
      <c r="B20">
        <v>16.09</v>
      </c>
      <c r="L20">
        <v>2.5007666867139044E-5</v>
      </c>
      <c r="M20">
        <f>L20/M16</f>
        <v>24509.128942695268</v>
      </c>
    </row>
    <row r="21" spans="1:13">
      <c r="A21" t="s">
        <v>2</v>
      </c>
      <c r="B21">
        <v>13.36</v>
      </c>
      <c r="C21">
        <v>1.98</v>
      </c>
      <c r="D21" t="s">
        <v>1</v>
      </c>
      <c r="E21" s="2">
        <v>0.16597222222222222</v>
      </c>
      <c r="I21" t="s">
        <v>40</v>
      </c>
      <c r="J21" t="s">
        <v>43</v>
      </c>
      <c r="L21">
        <v>2.8710586040047024E-5</v>
      </c>
      <c r="M21">
        <f>L21/M16</f>
        <v>28138.228928525452</v>
      </c>
    </row>
    <row r="22" spans="1:13">
      <c r="A22" t="s">
        <v>2</v>
      </c>
      <c r="B22">
        <v>14.89</v>
      </c>
      <c r="D22" t="s">
        <v>10</v>
      </c>
      <c r="E22">
        <f>AVERAGE(B21:B22)</f>
        <v>14.125</v>
      </c>
      <c r="F22">
        <f>0.05/14.125</f>
        <v>3.5398230088495579E-3</v>
      </c>
      <c r="I22">
        <f>(F23+F22*SQRT(F23))/500</f>
        <v>6.6659765550418459E-6</v>
      </c>
      <c r="J22">
        <f>H7*I7*I22</f>
        <v>8.0785878445053432E-10</v>
      </c>
    </row>
    <row r="23" spans="1:13">
      <c r="A23" t="s">
        <v>0</v>
      </c>
      <c r="B23">
        <v>15.4</v>
      </c>
      <c r="D23" t="s">
        <v>11</v>
      </c>
      <c r="E23">
        <f>AVERAGE(B23:B24)</f>
        <v>15.95</v>
      </c>
      <c r="F23">
        <f>0.05/15.95</f>
        <v>3.1347962382445144E-3</v>
      </c>
    </row>
    <row r="24" spans="1:13">
      <c r="A24" t="s">
        <v>0</v>
      </c>
      <c r="B24">
        <v>16.5</v>
      </c>
    </row>
    <row r="26" spans="1:13">
      <c r="A26" t="s">
        <v>3</v>
      </c>
      <c r="B26" t="s">
        <v>4</v>
      </c>
    </row>
    <row r="27" spans="1:13">
      <c r="A27" t="s">
        <v>0</v>
      </c>
      <c r="B27">
        <v>12</v>
      </c>
      <c r="C27" t="s">
        <v>0</v>
      </c>
      <c r="D27">
        <f>AVERAGE(B27:B36)</f>
        <v>12.321000000000002</v>
      </c>
      <c r="E27">
        <f>0.05/12.321</f>
        <v>4.0581121662202745E-3</v>
      </c>
      <c r="I27" t="s">
        <v>44</v>
      </c>
      <c r="J27" t="s">
        <v>53</v>
      </c>
    </row>
    <row r="28" spans="1:13">
      <c r="A28" t="s">
        <v>0</v>
      </c>
      <c r="B28">
        <v>12.87</v>
      </c>
      <c r="I28">
        <f>(E27+E37*SQRT(E27))/500</f>
        <v>1.0372806465646701E-5</v>
      </c>
    </row>
    <row r="29" spans="1:13">
      <c r="A29" t="s">
        <v>0</v>
      </c>
      <c r="B29">
        <v>13.45</v>
      </c>
    </row>
    <row r="30" spans="1:13">
      <c r="A30" t="s">
        <v>0</v>
      </c>
      <c r="B30">
        <v>12.22</v>
      </c>
      <c r="F30">
        <f>AVERAGE(G30:G33)</f>
        <v>4.1391358062861611E-10</v>
      </c>
      <c r="G30">
        <f>J30/I30</f>
        <v>4.1391358062861616E-10</v>
      </c>
      <c r="I30">
        <v>2</v>
      </c>
      <c r="J30">
        <v>8.2782716125723232E-10</v>
      </c>
      <c r="L30">
        <f>J31/J30</f>
        <v>1.1791120817888989</v>
      </c>
      <c r="M30">
        <f>J31/J30</f>
        <v>1.1791120817888989</v>
      </c>
    </row>
    <row r="31" spans="1:13">
      <c r="A31" t="s">
        <v>0</v>
      </c>
      <c r="B31">
        <v>12.23</v>
      </c>
      <c r="G31">
        <f t="shared" ref="G31:G33" si="0">J31/I31</f>
        <v>4.1391358062861616E-10</v>
      </c>
      <c r="H31">
        <f>AVERAGE(J30:J31)</f>
        <v>9.0196408436432096E-10</v>
      </c>
      <c r="I31">
        <v>2.3582241635777978</v>
      </c>
      <c r="J31">
        <v>9.761010074714097E-10</v>
      </c>
      <c r="K31">
        <f>J31/J30</f>
        <v>1.1791120817888989</v>
      </c>
      <c r="L31">
        <f>J32/J31</f>
        <v>1.2878734312476097</v>
      </c>
      <c r="M31">
        <f>J32/J30</f>
        <v>1.5185471225989813</v>
      </c>
    </row>
    <row r="32" spans="1:13">
      <c r="A32" t="s">
        <v>0</v>
      </c>
      <c r="B32">
        <v>11.89</v>
      </c>
      <c r="G32">
        <f t="shared" si="0"/>
        <v>4.1391358062861616E-10</v>
      </c>
      <c r="H32">
        <f>J32/H31</f>
        <v>1.3937301667864281</v>
      </c>
      <c r="I32">
        <v>3.0370942451979626</v>
      </c>
      <c r="J32">
        <v>1.257094553736453E-9</v>
      </c>
      <c r="L32">
        <f>J33/J32</f>
        <v>1.4014679251027953</v>
      </c>
      <c r="M32">
        <f>J33/J30</f>
        <v>2.1281950850796147</v>
      </c>
    </row>
    <row r="33" spans="1:13">
      <c r="A33" t="s">
        <v>0</v>
      </c>
      <c r="B33">
        <v>12.88</v>
      </c>
      <c r="G33">
        <f t="shared" si="0"/>
        <v>4.1391358062861611E-10</v>
      </c>
      <c r="H33">
        <f>J33/H31</f>
        <v>1.9532681249993484</v>
      </c>
      <c r="I33">
        <v>4.2563901701592295</v>
      </c>
      <c r="J33">
        <v>1.7617776958830513E-9</v>
      </c>
      <c r="M33">
        <f>M30*2</f>
        <v>2.3582241635777978</v>
      </c>
    </row>
    <row r="34" spans="1:13">
      <c r="A34" t="s">
        <v>0</v>
      </c>
      <c r="B34">
        <v>12.4</v>
      </c>
      <c r="M34">
        <f t="shared" ref="M34:M35" si="1">M31*2</f>
        <v>3.0370942451979626</v>
      </c>
    </row>
    <row r="35" spans="1:13">
      <c r="A35" t="s">
        <v>0</v>
      </c>
      <c r="B35">
        <v>11.93</v>
      </c>
      <c r="M35">
        <f t="shared" si="1"/>
        <v>4.2563901701592295</v>
      </c>
    </row>
    <row r="36" spans="1:13">
      <c r="A36" t="s">
        <v>0</v>
      </c>
      <c r="B36">
        <v>11.34</v>
      </c>
      <c r="I36">
        <f>STDEV(I30:I33)</f>
        <v>0.99355284013451584</v>
      </c>
      <c r="J36">
        <f>STDEV(J30:J33)</f>
        <v>4.1124501360380859E-10</v>
      </c>
      <c r="K36">
        <v>1</v>
      </c>
      <c r="L36">
        <f>0.00000000044036*K36</f>
        <v>4.4036000000000002E-10</v>
      </c>
    </row>
    <row r="37" spans="1:13">
      <c r="A37" t="s">
        <v>2</v>
      </c>
      <c r="B37">
        <v>3.92</v>
      </c>
      <c r="C37" t="s">
        <v>2</v>
      </c>
      <c r="D37">
        <f>AVERAGE(B37:B46)</f>
        <v>2.8229999999999995</v>
      </c>
      <c r="E37">
        <f>0.05/2.823</f>
        <v>1.7711654268508681E-2</v>
      </c>
      <c r="K37">
        <v>2</v>
      </c>
      <c r="L37">
        <f t="shared" ref="L37:L40" si="2">0.00000000044036*K37</f>
        <v>8.8072000000000004E-10</v>
      </c>
    </row>
    <row r="38" spans="1:13">
      <c r="A38" t="s">
        <v>2</v>
      </c>
      <c r="B38">
        <v>3.13</v>
      </c>
      <c r="K38">
        <v>3</v>
      </c>
      <c r="L38">
        <f t="shared" si="2"/>
        <v>1.3210800000000002E-9</v>
      </c>
    </row>
    <row r="39" spans="1:13">
      <c r="A39" t="s">
        <v>2</v>
      </c>
      <c r="B39">
        <v>4.2300000000000004</v>
      </c>
      <c r="K39">
        <v>4</v>
      </c>
      <c r="L39">
        <f t="shared" si="2"/>
        <v>1.7614400000000001E-9</v>
      </c>
    </row>
    <row r="40" spans="1:13">
      <c r="A40" t="s">
        <v>2</v>
      </c>
      <c r="B40">
        <v>2.93</v>
      </c>
      <c r="K40">
        <v>5</v>
      </c>
      <c r="L40">
        <f t="shared" si="2"/>
        <v>2.2018E-9</v>
      </c>
    </row>
    <row r="41" spans="1:13">
      <c r="A41" t="s">
        <v>2</v>
      </c>
      <c r="B41">
        <v>3.02</v>
      </c>
    </row>
    <row r="42" spans="1:13">
      <c r="A42" t="s">
        <v>2</v>
      </c>
      <c r="B42">
        <v>2.4500000000000002</v>
      </c>
    </row>
    <row r="43" spans="1:13">
      <c r="A43" t="s">
        <v>2</v>
      </c>
      <c r="B43">
        <v>2.33</v>
      </c>
    </row>
    <row r="44" spans="1:13">
      <c r="A44" t="s">
        <v>2</v>
      </c>
      <c r="B44">
        <v>2.0099999999999998</v>
      </c>
    </row>
    <row r="45" spans="1:13">
      <c r="A45" t="s">
        <v>2</v>
      </c>
      <c r="B45">
        <v>2.23</v>
      </c>
    </row>
    <row r="46" spans="1:13">
      <c r="A46" t="s">
        <v>2</v>
      </c>
      <c r="B46">
        <v>1.98</v>
      </c>
    </row>
    <row r="47" spans="1:13">
      <c r="H47">
        <f>400*PI()*0.76*SQRT((9*0.00018/2)^3/(9800*0.886))</f>
        <v>2.362768029626396E-4</v>
      </c>
      <c r="I47">
        <f>(1+0.000617/(63.8*0.00001725))^(-3/2)</f>
        <v>0.51292112252766731</v>
      </c>
    </row>
    <row r="48" spans="1:13">
      <c r="A48" t="s">
        <v>3</v>
      </c>
      <c r="B48" t="s">
        <v>5</v>
      </c>
    </row>
    <row r="50" spans="1:11">
      <c r="A50" t="s">
        <v>0</v>
      </c>
      <c r="B50">
        <v>11.83</v>
      </c>
      <c r="C50" t="s">
        <v>0</v>
      </c>
      <c r="D50">
        <f>AVERAGE(B50:B54)</f>
        <v>13.125999999999999</v>
      </c>
      <c r="E50">
        <f>0.05/D50</f>
        <v>3.8092335822032613E-3</v>
      </c>
      <c r="G50" t="s">
        <v>45</v>
      </c>
      <c r="H50" t="s">
        <v>52</v>
      </c>
    </row>
    <row r="51" spans="1:11">
      <c r="A51" t="s">
        <v>0</v>
      </c>
      <c r="B51">
        <v>12.23</v>
      </c>
      <c r="G51">
        <f>(E50+E55*SQRT(E50))/500</f>
        <v>8.0542126376488636E-6</v>
      </c>
      <c r="H51">
        <f>H47*I47*G51</f>
        <v>9.761010074714097E-10</v>
      </c>
    </row>
    <row r="52" spans="1:11">
      <c r="A52" t="s">
        <v>0</v>
      </c>
      <c r="B52">
        <v>15</v>
      </c>
    </row>
    <row r="53" spans="1:11">
      <c r="A53" t="s">
        <v>0</v>
      </c>
      <c r="B53">
        <v>13.21</v>
      </c>
    </row>
    <row r="54" spans="1:11">
      <c r="A54" t="s">
        <v>0</v>
      </c>
      <c r="B54">
        <v>13.36</v>
      </c>
    </row>
    <row r="55" spans="1:11">
      <c r="A55" t="s">
        <v>2</v>
      </c>
      <c r="B55">
        <v>3.42</v>
      </c>
      <c r="C55" t="s">
        <v>2</v>
      </c>
      <c r="D55">
        <f>AVERAGE(B55:B59)</f>
        <v>14.163999999999998</v>
      </c>
      <c r="E55">
        <f>0.05/D55</f>
        <v>3.5300762496469932E-3</v>
      </c>
    </row>
    <row r="56" spans="1:11">
      <c r="A56" t="s">
        <v>2</v>
      </c>
      <c r="B56">
        <v>5.92</v>
      </c>
    </row>
    <row r="57" spans="1:11">
      <c r="A57" t="s">
        <v>2</v>
      </c>
      <c r="B57">
        <v>19.649999999999999</v>
      </c>
    </row>
    <row r="58" spans="1:11">
      <c r="A58" t="s">
        <v>2</v>
      </c>
      <c r="B58">
        <v>21.77</v>
      </c>
    </row>
    <row r="59" spans="1:11">
      <c r="A59" t="s">
        <v>2</v>
      </c>
      <c r="B59">
        <v>20.059999999999999</v>
      </c>
    </row>
    <row r="61" spans="1:11">
      <c r="A61" t="s">
        <v>3</v>
      </c>
      <c r="B61" t="s">
        <v>6</v>
      </c>
    </row>
    <row r="62" spans="1:11">
      <c r="A62" t="s">
        <v>0</v>
      </c>
      <c r="B62">
        <v>7.37</v>
      </c>
      <c r="E62">
        <f>0.05/AVERAGE(B62:B67)</f>
        <v>6.2396006655574049E-3</v>
      </c>
      <c r="F62" t="s">
        <v>0</v>
      </c>
      <c r="G62" t="s">
        <v>46</v>
      </c>
      <c r="H62" t="s">
        <v>51</v>
      </c>
      <c r="K62">
        <f>(4.8-4.14)/4.8</f>
        <v>0.13750000000000004</v>
      </c>
    </row>
    <row r="63" spans="1:11">
      <c r="A63" t="s">
        <v>0</v>
      </c>
      <c r="B63">
        <v>7.56</v>
      </c>
      <c r="C63" s="1">
        <v>1925000</v>
      </c>
      <c r="D63" t="s">
        <v>7</v>
      </c>
      <c r="E63">
        <f>0.05/AVERAGE(B68:B73)</f>
        <v>1.302648719062093E-2</v>
      </c>
      <c r="F63" t="s">
        <v>2</v>
      </c>
      <c r="G63">
        <f>(E62+E63*SQRT(E62))/500</f>
        <v>1.4537155554902745E-5</v>
      </c>
      <c r="H63">
        <f>G63*H47*I47</f>
        <v>1.7617776958830513E-9</v>
      </c>
    </row>
    <row r="64" spans="1:11">
      <c r="A64" t="s">
        <v>0</v>
      </c>
      <c r="B64">
        <v>8.4600000000000009</v>
      </c>
    </row>
    <row r="65" spans="1:8">
      <c r="A65" t="s">
        <v>0</v>
      </c>
      <c r="B65">
        <v>8.56</v>
      </c>
    </row>
    <row r="66" spans="1:8">
      <c r="A66" t="s">
        <v>0</v>
      </c>
      <c r="B66">
        <v>8.18</v>
      </c>
    </row>
    <row r="67" spans="1:8">
      <c r="A67" t="s">
        <v>0</v>
      </c>
      <c r="B67">
        <v>7.95</v>
      </c>
    </row>
    <row r="68" spans="1:8">
      <c r="A68" t="s">
        <v>2</v>
      </c>
      <c r="B68">
        <v>2.86</v>
      </c>
    </row>
    <row r="69" spans="1:8">
      <c r="A69" t="s">
        <v>2</v>
      </c>
      <c r="B69">
        <v>3.83</v>
      </c>
    </row>
    <row r="70" spans="1:8">
      <c r="A70" t="s">
        <v>2</v>
      </c>
      <c r="B70">
        <v>3.95</v>
      </c>
    </row>
    <row r="71" spans="1:8">
      <c r="A71" t="s">
        <v>2</v>
      </c>
      <c r="B71">
        <v>3.83</v>
      </c>
    </row>
    <row r="72" spans="1:8">
      <c r="A72" t="s">
        <v>2</v>
      </c>
      <c r="B72">
        <v>4.21</v>
      </c>
    </row>
    <row r="73" spans="1:8">
      <c r="A73" t="s">
        <v>2</v>
      </c>
      <c r="B73">
        <v>4.3499999999999996</v>
      </c>
    </row>
    <row r="75" spans="1:8">
      <c r="A75" t="s">
        <v>3</v>
      </c>
      <c r="B75" t="s">
        <v>8</v>
      </c>
      <c r="H75" t="s">
        <v>50</v>
      </c>
    </row>
    <row r="76" spans="1:8">
      <c r="A76" t="s">
        <v>0</v>
      </c>
      <c r="B76">
        <v>8.73</v>
      </c>
      <c r="C76">
        <v>1.919</v>
      </c>
      <c r="D76" t="s">
        <v>0</v>
      </c>
      <c r="E76">
        <f>0.05/AVERAGE(B76:B79)</f>
        <v>5.621135469364812E-3</v>
      </c>
      <c r="G76" t="s">
        <v>47</v>
      </c>
      <c r="H76">
        <f>G77*G81*H81</f>
        <v>1.1438953235697717E-12</v>
      </c>
    </row>
    <row r="77" spans="1:8">
      <c r="A77" t="s">
        <v>0</v>
      </c>
      <c r="B77">
        <v>9.52</v>
      </c>
      <c r="D77" t="s">
        <v>2</v>
      </c>
      <c r="E77">
        <f>0.05/AVERAGE(B80:B83)</f>
        <v>1.1198208286674134E-2</v>
      </c>
      <c r="G77">
        <f>(E76*E77*SQRT(E76))/500</f>
        <v>9.4387528552089391E-9</v>
      </c>
    </row>
    <row r="78" spans="1:8">
      <c r="A78" t="s">
        <v>0</v>
      </c>
      <c r="B78">
        <v>9.58</v>
      </c>
    </row>
    <row r="79" spans="1:8">
      <c r="A79" t="s">
        <v>0</v>
      </c>
      <c r="B79">
        <v>7.75</v>
      </c>
    </row>
    <row r="80" spans="1:8">
      <c r="A80" t="s">
        <v>2</v>
      </c>
      <c r="B80">
        <v>3.8</v>
      </c>
    </row>
    <row r="81" spans="1:8">
      <c r="A81" t="s">
        <v>2</v>
      </c>
      <c r="B81">
        <v>3.73</v>
      </c>
      <c r="G81">
        <f>400*PI()*0.76*SQRT((9*0.00018/2)^3/(9800*0.886))</f>
        <v>2.362768029626396E-4</v>
      </c>
      <c r="H81">
        <f>(1+0.000617/(63.8*0.00001725))^(-3/2)</f>
        <v>0.51292112252766731</v>
      </c>
    </row>
    <row r="82" spans="1:8">
      <c r="A82" t="s">
        <v>2</v>
      </c>
      <c r="B82">
        <v>5</v>
      </c>
    </row>
    <row r="83" spans="1:8">
      <c r="A83" t="s">
        <v>2</v>
      </c>
      <c r="B83">
        <v>5.33</v>
      </c>
    </row>
    <row r="85" spans="1:8">
      <c r="A85" t="s">
        <v>3</v>
      </c>
      <c r="B85" t="s">
        <v>9</v>
      </c>
      <c r="C85">
        <v>1.9159999999999999</v>
      </c>
    </row>
    <row r="86" spans="1:8">
      <c r="A86" t="s">
        <v>0</v>
      </c>
      <c r="B86">
        <v>12.67</v>
      </c>
      <c r="D86" t="s">
        <v>0</v>
      </c>
      <c r="E86">
        <f>0.05/AVERAGE(B86:B93)</f>
        <v>3.9273441335297005E-3</v>
      </c>
      <c r="F86" t="s">
        <v>48</v>
      </c>
      <c r="H86" t="s">
        <v>49</v>
      </c>
    </row>
    <row r="87" spans="1:8">
      <c r="A87" t="s">
        <v>0</v>
      </c>
      <c r="B87">
        <v>13.33</v>
      </c>
      <c r="D87" t="s">
        <v>2</v>
      </c>
      <c r="E87">
        <f>0.05/AVERAGE(B94:B101)</f>
        <v>2.2014309301045684E-2</v>
      </c>
      <c r="F87">
        <f>(E86*E87*SQRT(E86))/500</f>
        <v>1.0836361800560812E-8</v>
      </c>
      <c r="H87">
        <f>F87*G81*H81</f>
        <v>1.3132734566019345E-12</v>
      </c>
    </row>
    <row r="88" spans="1:8">
      <c r="A88" t="s">
        <v>0</v>
      </c>
      <c r="B88">
        <v>11.48</v>
      </c>
    </row>
    <row r="89" spans="1:8">
      <c r="A89" t="s">
        <v>0</v>
      </c>
      <c r="B89">
        <v>14.23</v>
      </c>
    </row>
    <row r="90" spans="1:8">
      <c r="A90" t="s">
        <v>0</v>
      </c>
      <c r="B90">
        <v>11.77</v>
      </c>
    </row>
    <row r="91" spans="1:8">
      <c r="A91" t="s">
        <v>0</v>
      </c>
      <c r="B91">
        <v>14.77</v>
      </c>
    </row>
    <row r="92" spans="1:8">
      <c r="A92" t="s">
        <v>0</v>
      </c>
      <c r="B92">
        <v>11.73</v>
      </c>
    </row>
    <row r="93" spans="1:8">
      <c r="A93" t="s">
        <v>0</v>
      </c>
      <c r="B93">
        <v>11.87</v>
      </c>
    </row>
    <row r="94" spans="1:8">
      <c r="A94" t="s">
        <v>2</v>
      </c>
      <c r="B94">
        <v>2.17</v>
      </c>
    </row>
    <row r="95" spans="1:8">
      <c r="A95" t="s">
        <v>2</v>
      </c>
      <c r="B95">
        <v>2.17</v>
      </c>
    </row>
    <row r="96" spans="1:8">
      <c r="A96" t="s">
        <v>2</v>
      </c>
      <c r="B96">
        <v>2.56</v>
      </c>
    </row>
    <row r="97" spans="1:5">
      <c r="A97" t="s">
        <v>2</v>
      </c>
      <c r="B97">
        <v>2.1800000000000002</v>
      </c>
    </row>
    <row r="98" spans="1:5">
      <c r="A98" t="s">
        <v>2</v>
      </c>
      <c r="B98">
        <v>2.09</v>
      </c>
    </row>
    <row r="99" spans="1:5">
      <c r="A99" t="s">
        <v>2</v>
      </c>
      <c r="B99">
        <v>2.09</v>
      </c>
    </row>
    <row r="100" spans="1:5">
      <c r="A100" t="s">
        <v>2</v>
      </c>
      <c r="B100">
        <v>2.02</v>
      </c>
    </row>
    <row r="101" spans="1:5">
      <c r="A101" t="s">
        <v>2</v>
      </c>
      <c r="B101">
        <v>2.89</v>
      </c>
    </row>
    <row r="103" spans="1:5">
      <c r="A103" t="s">
        <v>0</v>
      </c>
      <c r="B103">
        <v>13.05</v>
      </c>
    </row>
    <row r="104" spans="1:5">
      <c r="A104" t="s">
        <v>2</v>
      </c>
      <c r="B104">
        <v>7.36</v>
      </c>
    </row>
    <row r="105" spans="1:5">
      <c r="A105" t="s">
        <v>0</v>
      </c>
      <c r="B105">
        <v>13.62</v>
      </c>
      <c r="C105" s="1">
        <v>1903000</v>
      </c>
      <c r="D105" t="s">
        <v>7</v>
      </c>
      <c r="E105" s="2">
        <v>0.1875</v>
      </c>
    </row>
    <row r="106" spans="1:5">
      <c r="A106" t="s">
        <v>2</v>
      </c>
      <c r="B106">
        <v>6.37</v>
      </c>
    </row>
    <row r="107" spans="1:5">
      <c r="A107" t="s">
        <v>0</v>
      </c>
      <c r="B107">
        <v>12.2</v>
      </c>
    </row>
    <row r="108" spans="1:5">
      <c r="A108" t="s">
        <v>2</v>
      </c>
      <c r="B108">
        <v>6.89</v>
      </c>
    </row>
  </sheetData>
  <sortState ref="J28:J33">
    <sortCondition ref="J28"/>
  </sortState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Annabella Tuskazo</dc:creator>
  <cp:lastModifiedBy> Annabella Tuskazo</cp:lastModifiedBy>
  <dcterms:created xsi:type="dcterms:W3CDTF">2007-11-26T23:50:03Z</dcterms:created>
  <dcterms:modified xsi:type="dcterms:W3CDTF">2007-12-04T04:17:56Z</dcterms:modified>
</cp:coreProperties>
</file>